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varstecllc.sharepoint.com/sites/VarStecPowerSolutions/Shared Documents/Website/Website Pages/RESOURCE HUB/Spreadsheet Tools/"/>
    </mc:Choice>
  </mc:AlternateContent>
  <xr:revisionPtr revIDLastSave="1842" documentId="8_{88CA34F5-977F-4AAE-ACC0-BE4B76FB8749}" xr6:coauthVersionLast="47" xr6:coauthVersionMax="47" xr10:uidLastSave="{F286603C-BBE3-4E18-AEF6-49E30273D123}"/>
  <bookViews>
    <workbookView xWindow="-120" yWindow="-120" windowWidth="29040" windowHeight="15720" tabRatio="678" activeTab="1" xr2:uid="{B632598A-E0F5-4192-BD05-2A4920034205}"/>
  </bookViews>
  <sheets>
    <sheet name="Technical Overview" sheetId="6" r:id="rId1"/>
    <sheet name="Single Ended Substation" sheetId="7" r:id="rId2"/>
    <sheet name="Formulas" sheetId="11" r:id="rId3"/>
    <sheet name="Breakers S1 Cap Switching" sheetId="8" r:id="rId4"/>
    <sheet name="Breakers S2 Cap Switching" sheetId="9" r:id="rId5"/>
    <sheet name="Capacitor Switches" sheetId="10" r:id="rId6"/>
  </sheets>
  <definedNames>
    <definedName name="_xlnm.Print_Area" localSheetId="1">'Single Ended Substation'!$B$2:$AP$49,'Single Ended Substation'!$AR$2:$CF$49,'Single Ended Substation'!$B$51:$AP$98,'Single Ended Substation'!$AR$51:$CF$98</definedName>
    <definedName name="_xlnm.Print_Area" localSheetId="0">'Technical Overview'!$B$2:$AP$49,'Technical Overview'!$AR$2:$CF$49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4" i="7" l="1"/>
  <c r="AL65" i="7"/>
  <c r="AL66" i="7"/>
  <c r="AL67" i="7"/>
  <c r="AL68" i="7"/>
  <c r="AL63" i="7"/>
  <c r="AL62" i="7"/>
  <c r="AL61" i="7"/>
  <c r="AG64" i="7"/>
  <c r="AG65" i="7"/>
  <c r="AG66" i="7"/>
  <c r="AG67" i="7"/>
  <c r="AG68" i="7"/>
  <c r="AA64" i="7"/>
  <c r="AA65" i="7"/>
  <c r="AA66" i="7"/>
  <c r="AA67" i="7"/>
  <c r="AA68" i="7"/>
  <c r="CO38" i="7"/>
  <c r="CO39" i="7"/>
  <c r="CO40" i="7"/>
  <c r="CO41" i="7"/>
  <c r="CO42" i="7"/>
  <c r="CO37" i="7"/>
  <c r="CL25" i="7"/>
  <c r="CI37" i="7"/>
  <c r="CI38" i="7"/>
  <c r="CI39" i="7"/>
  <c r="CI40" i="7"/>
  <c r="CI41" i="7"/>
  <c r="CI42" i="7"/>
  <c r="CI43" i="7"/>
  <c r="CI44" i="7"/>
  <c r="EL37" i="7"/>
  <c r="EL38" i="7"/>
  <c r="EL39" i="7"/>
  <c r="EL40" i="7"/>
  <c r="EL41" i="7"/>
  <c r="EL42" i="7"/>
  <c r="EL43" i="7"/>
  <c r="EL36" i="7"/>
  <c r="AW29" i="7"/>
  <c r="AW30" i="7"/>
  <c r="AW31" i="7"/>
  <c r="AW32" i="7"/>
  <c r="AW33" i="7"/>
  <c r="AW34" i="7"/>
  <c r="AW28" i="7"/>
  <c r="AW27" i="7"/>
  <c r="AW13" i="7"/>
  <c r="AW14" i="7"/>
  <c r="AW15" i="7"/>
  <c r="AW16" i="7"/>
  <c r="AW17" i="7"/>
  <c r="F65" i="7" s="1"/>
  <c r="AW18" i="7"/>
  <c r="AW19" i="7"/>
  <c r="K67" i="7" s="1"/>
  <c r="AW20" i="7"/>
  <c r="K68" i="7" s="1"/>
  <c r="EL22" i="7"/>
  <c r="EL23" i="7"/>
  <c r="EL24" i="7"/>
  <c r="EL25" i="7"/>
  <c r="EL26" i="7"/>
  <c r="EL27" i="7"/>
  <c r="EL28" i="7"/>
  <c r="EL21" i="7"/>
  <c r="ES8" i="7"/>
  <c r="AS54" i="6"/>
  <c r="C54" i="6"/>
  <c r="F68" i="7" l="1"/>
  <c r="F67" i="7"/>
  <c r="K65" i="7"/>
  <c r="K66" i="7"/>
  <c r="F66" i="7"/>
  <c r="K61" i="7"/>
  <c r="F61" i="7"/>
  <c r="K64" i="7"/>
  <c r="F64" i="7"/>
  <c r="K63" i="7"/>
  <c r="F63" i="7"/>
  <c r="K62" i="7"/>
  <c r="F62" i="7"/>
  <c r="ER37" i="7"/>
  <c r="EX37" i="7" s="1"/>
  <c r="ER43" i="7"/>
  <c r="EX43" i="7" s="1"/>
  <c r="ER42" i="7"/>
  <c r="EX42" i="7" s="1"/>
  <c r="ER41" i="7"/>
  <c r="EX41" i="7" s="1"/>
  <c r="ER40" i="7"/>
  <c r="EX40" i="7" s="1"/>
  <c r="ER39" i="7"/>
  <c r="EX39" i="7" s="1"/>
  <c r="ER38" i="7"/>
  <c r="EX38" i="7" s="1"/>
  <c r="ER36" i="7"/>
  <c r="EX36" i="7" s="1"/>
  <c r="BB27" i="7"/>
  <c r="BB13" i="7"/>
  <c r="BB20" i="7"/>
  <c r="FD43" i="7" s="1"/>
  <c r="BB34" i="7"/>
  <c r="BB33" i="7"/>
  <c r="BB19" i="7"/>
  <c r="FD42" i="7" s="1"/>
  <c r="BB17" i="7"/>
  <c r="FD40" i="7" s="1"/>
  <c r="BB31" i="7"/>
  <c r="BB16" i="7"/>
  <c r="FD39" i="7" s="1"/>
  <c r="BB30" i="7"/>
  <c r="BB15" i="7"/>
  <c r="BB29" i="7"/>
  <c r="BB14" i="7"/>
  <c r="FD37" i="7" s="1"/>
  <c r="BB28" i="7"/>
  <c r="BB32" i="7"/>
  <c r="BB18" i="7"/>
  <c r="FD41" i="7" s="1"/>
  <c r="ER26" i="7"/>
  <c r="EX26" i="7" s="1"/>
  <c r="ER25" i="7"/>
  <c r="EX25" i="7" s="1"/>
  <c r="ER24" i="7"/>
  <c r="EX24" i="7" s="1"/>
  <c r="ER23" i="7"/>
  <c r="EX23" i="7" s="1"/>
  <c r="ER27" i="7"/>
  <c r="EX27" i="7" s="1"/>
  <c r="ER22" i="7"/>
  <c r="EX22" i="7" s="1"/>
  <c r="ES9" i="7"/>
  <c r="ES10" i="7"/>
  <c r="ER28" i="7"/>
  <c r="EX28" i="7" s="1"/>
  <c r="EX21" i="7"/>
  <c r="FD36" i="7" l="1"/>
  <c r="FD21" i="7"/>
  <c r="FI22" i="7" s="1"/>
  <c r="FD28" i="7"/>
  <c r="FD27" i="7"/>
  <c r="FD25" i="7"/>
  <c r="FD24" i="7"/>
  <c r="FD38" i="7"/>
  <c r="FD23" i="7"/>
  <c r="FD22" i="7"/>
  <c r="FD26" i="7"/>
  <c r="FE9" i="7"/>
  <c r="FE12" i="7"/>
  <c r="FE14" i="7"/>
  <c r="FE15" i="7"/>
  <c r="FE6" i="7"/>
  <c r="ES11" i="7"/>
  <c r="FE11" i="7"/>
  <c r="FE13" i="7"/>
  <c r="FE8" i="7"/>
  <c r="FE10" i="7"/>
  <c r="FI42" i="7" l="1"/>
  <c r="FI41" i="7"/>
  <c r="FI43" i="7"/>
  <c r="FI39" i="7"/>
  <c r="FI40" i="7"/>
  <c r="FI36" i="7"/>
  <c r="BV27" i="7" s="1"/>
  <c r="FI37" i="7"/>
  <c r="FI38" i="7"/>
  <c r="BQ14" i="7"/>
  <c r="BV14" i="7"/>
  <c r="BG33" i="7"/>
  <c r="BL33" i="7"/>
  <c r="FI27" i="7"/>
  <c r="FI26" i="7"/>
  <c r="FI28" i="7"/>
  <c r="FI23" i="7"/>
  <c r="FI25" i="7"/>
  <c r="FI24" i="7"/>
  <c r="BG28" i="7"/>
  <c r="BL28" i="7"/>
  <c r="BL34" i="7"/>
  <c r="BG34" i="7"/>
  <c r="BG30" i="7"/>
  <c r="BL30" i="7"/>
  <c r="BG32" i="7"/>
  <c r="BL32" i="7"/>
  <c r="BL27" i="7"/>
  <c r="BG27" i="7"/>
  <c r="BG29" i="7"/>
  <c r="BL29" i="7"/>
  <c r="BG31" i="7"/>
  <c r="BL31" i="7"/>
  <c r="BL13" i="7"/>
  <c r="BG13" i="7"/>
  <c r="CA13" i="7" l="1"/>
  <c r="BQ34" i="7"/>
  <c r="BV34" i="7"/>
  <c r="BQ33" i="7"/>
  <c r="BV33" i="7"/>
  <c r="BQ32" i="7"/>
  <c r="BV32" i="7"/>
  <c r="BQ31" i="7"/>
  <c r="BV31" i="7"/>
  <c r="BQ30" i="7"/>
  <c r="BV30" i="7"/>
  <c r="BQ29" i="7"/>
  <c r="BV29" i="7"/>
  <c r="BQ27" i="7"/>
  <c r="BQ28" i="7"/>
  <c r="CH14" i="7" s="1"/>
  <c r="BV28" i="7"/>
  <c r="CA14" i="7"/>
  <c r="BQ17" i="7"/>
  <c r="BV17" i="7"/>
  <c r="BV16" i="7"/>
  <c r="BQ16" i="7"/>
  <c r="BQ15" i="7"/>
  <c r="BV15" i="7"/>
  <c r="BV19" i="7"/>
  <c r="BQ19" i="7"/>
  <c r="BV18" i="7"/>
  <c r="BQ18" i="7"/>
  <c r="BV20" i="7"/>
  <c r="BQ20" i="7"/>
  <c r="CH18" i="7" l="1"/>
  <c r="P62" i="7"/>
  <c r="U62" i="7"/>
  <c r="CH20" i="7"/>
  <c r="CH16" i="7"/>
  <c r="CH19" i="7"/>
  <c r="CA15" i="7"/>
  <c r="CH17" i="7"/>
  <c r="CH15" i="7"/>
  <c r="CA27" i="7"/>
  <c r="CH13" i="7"/>
  <c r="U61" i="7" s="1"/>
  <c r="CA29" i="7"/>
  <c r="CA28" i="7"/>
  <c r="CA33" i="7"/>
  <c r="CA32" i="7"/>
  <c r="CA31" i="7"/>
  <c r="CA30" i="7"/>
  <c r="CA34" i="7"/>
  <c r="CA17" i="7"/>
  <c r="CA19" i="7"/>
  <c r="CA18" i="7"/>
  <c r="CA20" i="7"/>
  <c r="CA16" i="7"/>
  <c r="U66" i="7" l="1"/>
  <c r="P66" i="7"/>
  <c r="P68" i="7"/>
  <c r="U68" i="7"/>
  <c r="P64" i="7"/>
  <c r="U64" i="7"/>
  <c r="P67" i="7"/>
  <c r="U67" i="7"/>
  <c r="P65" i="7"/>
  <c r="U65" i="7"/>
  <c r="P63" i="7"/>
  <c r="U63" i="7"/>
  <c r="CR13" i="7"/>
  <c r="AG61" i="7" s="1"/>
  <c r="CM13" i="7"/>
  <c r="P61" i="7"/>
  <c r="CR15" i="7"/>
  <c r="AA63" i="7" s="1"/>
  <c r="CM15" i="7"/>
  <c r="CR14" i="7"/>
  <c r="CM14" i="7"/>
  <c r="CM16" i="7"/>
  <c r="CR16" i="7"/>
  <c r="CR17" i="7"/>
  <c r="CM17" i="7"/>
  <c r="CR19" i="7"/>
  <c r="CM19" i="7"/>
  <c r="CR18" i="7"/>
  <c r="CM18" i="7"/>
  <c r="CR20" i="7"/>
  <c r="CM20" i="7"/>
  <c r="AA61" i="7" l="1"/>
  <c r="AG63" i="7"/>
  <c r="AA62" i="7"/>
  <c r="AG62" i="7"/>
</calcChain>
</file>

<file path=xl/sharedStrings.xml><?xml version="1.0" encoding="utf-8"?>
<sst xmlns="http://schemas.openxmlformats.org/spreadsheetml/2006/main" count="233" uniqueCount="147">
  <si>
    <t>VarStec Power Solutions, LLC</t>
  </si>
  <si>
    <t>PO Box 942</t>
  </si>
  <si>
    <t>Saratoga Springs, NY 12866</t>
  </si>
  <si>
    <t>518.369.7589</t>
  </si>
  <si>
    <t>Info@VarStec.com</t>
  </si>
  <si>
    <t>2 | P a g e</t>
  </si>
  <si>
    <t>3 | P a g e</t>
  </si>
  <si>
    <t>4 | P a g e</t>
  </si>
  <si>
    <t>5 | P a g e</t>
  </si>
  <si>
    <t>6 | P a g e</t>
  </si>
  <si>
    <t>7 | P a g e</t>
  </si>
  <si>
    <t>8 | P a g e</t>
  </si>
  <si>
    <t>Sheet Rev Date: 1-11-2026</t>
  </si>
  <si>
    <t>📜 PROJECT DETAILS</t>
  </si>
  <si>
    <t xml:space="preserve"> </t>
  </si>
  <si>
    <t>January 18, 2026</t>
  </si>
  <si>
    <t>Project Name:</t>
  </si>
  <si>
    <t>VarStec SO #:</t>
  </si>
  <si>
    <t>Enter SO Number</t>
  </si>
  <si>
    <t>Customer PO #:</t>
  </si>
  <si>
    <t xml:space="preserve">Enter Customer PO # </t>
  </si>
  <si>
    <t>Rev 1</t>
  </si>
  <si>
    <t>Tag #:</t>
  </si>
  <si>
    <t>Capacitor Bank Switching Inrush Analysis Tool 
Single Ended Substation — IEEE Standard C37.012-2022</t>
  </si>
  <si>
    <t>🧮 PURPOSE OF ANALYSIS</t>
  </si>
  <si>
    <t>🧮 CAPACITOR BANK &amp; SYSTEM DATA</t>
  </si>
  <si>
    <t>System Frequency(Hz):</t>
  </si>
  <si>
    <t>Maximum System Over-voltage (%):</t>
  </si>
  <si>
    <t>KVAR Rating</t>
  </si>
  <si>
    <t>Internal Inductance of Capacitor Stage (µH):</t>
  </si>
  <si>
    <t>Outrush Reactor on Feeder or Incoming (µH):</t>
  </si>
  <si>
    <t>Switching Device Details</t>
  </si>
  <si>
    <t>Peak Making Frequency  (kHz)</t>
  </si>
  <si>
    <t>Type of Switching Device</t>
  </si>
  <si>
    <t>🧮 ANALYSIS RESULTS</t>
  </si>
  <si>
    <t>Stage #:</t>
  </si>
  <si>
    <r>
      <t>System Voltage (kV</t>
    </r>
    <r>
      <rPr>
        <vertAlign val="subscript"/>
        <sz val="11"/>
        <color theme="1"/>
        <rFont val="Calibri"/>
        <family val="2"/>
        <scheme val="minor"/>
      </rPr>
      <t>LL</t>
    </r>
    <r>
      <rPr>
        <sz val="11"/>
        <color theme="1"/>
        <rFont val="Calibri"/>
        <family val="2"/>
        <scheme val="minor"/>
      </rPr>
      <t>):</t>
    </r>
  </si>
  <si>
    <r>
      <t>Capacitor Bank Feeder Inductance (</t>
    </r>
    <r>
      <rPr>
        <sz val="11"/>
        <color theme="1"/>
        <rFont val="Calibri"/>
        <family val="2"/>
      </rPr>
      <t>µ</t>
    </r>
    <r>
      <rPr>
        <sz val="11"/>
        <color theme="1"/>
        <rFont val="Calibri"/>
        <family val="2"/>
        <scheme val="minor"/>
      </rPr>
      <t>H):</t>
    </r>
  </si>
  <si>
    <r>
      <t>Short Circuit Current, X/R ratio</t>
    </r>
    <r>
      <rPr>
        <vertAlign val="superscript"/>
        <sz val="11"/>
        <color theme="1"/>
        <rFont val="Calibri"/>
        <family val="2"/>
        <scheme val="minor"/>
      </rPr>
      <t>1</t>
    </r>
    <r>
      <rPr>
        <sz val="11"/>
        <color theme="1"/>
        <rFont val="Calibri"/>
        <family val="2"/>
        <scheme val="minor"/>
      </rPr>
      <t>:</t>
    </r>
  </si>
  <si>
    <t>1) Inductance of source impedance is calculated from this value, yeilding worst case results</t>
  </si>
  <si>
    <t>X=</t>
  </si>
  <si>
    <t>R=</t>
  </si>
  <si>
    <t>Zsource:</t>
  </si>
  <si>
    <t>ohms</t>
  </si>
  <si>
    <t>Lsource:</t>
  </si>
  <si>
    <t>µH</t>
  </si>
  <si>
    <t>Isc considering source reactance only:</t>
  </si>
  <si>
    <t>Isch Stage 1:</t>
  </si>
  <si>
    <t>amps</t>
  </si>
  <si>
    <t>Isch Stage 2:</t>
  </si>
  <si>
    <t>Isch Stage 3:</t>
  </si>
  <si>
    <t>Isch Stage 4:</t>
  </si>
  <si>
    <t>Isch Stage 5:</t>
  </si>
  <si>
    <t>Isch Stage 6:</t>
  </si>
  <si>
    <t>Isch Stage 7:</t>
  </si>
  <si>
    <t>Isch Stage 8:</t>
  </si>
  <si>
    <t>kA</t>
  </si>
  <si>
    <t xml:space="preserve">These values of Isc account for </t>
  </si>
  <si>
    <t>Feeder inductance, outrush reactor, inrush reactor</t>
  </si>
  <si>
    <t>more accurate, especially where a sizable outrush reactor</t>
  </si>
  <si>
    <t>is used.</t>
  </si>
  <si>
    <t>Bus work Inductance Between Stages (µH):</t>
  </si>
  <si>
    <t>Stage 1</t>
  </si>
  <si>
    <t>Stage 2</t>
  </si>
  <si>
    <t>Stage 3</t>
  </si>
  <si>
    <t>Stage 4</t>
  </si>
  <si>
    <t>Stage 5</t>
  </si>
  <si>
    <t>Stage 6</t>
  </si>
  <si>
    <t>Stage 7</t>
  </si>
  <si>
    <t>Stage 8</t>
  </si>
  <si>
    <t>Leq</t>
  </si>
  <si>
    <t>Inductance of Stage Being Switched (Ln)*</t>
  </si>
  <si>
    <t>* "Bus work inductance between stages" to next capacitor stage being switched is added in here.</t>
  </si>
  <si>
    <t>Stage Current of Bank being switched in</t>
  </si>
  <si>
    <t>Sum of all other stage currents</t>
  </si>
  <si>
    <t>n/a</t>
  </si>
  <si>
    <t>L' (all other stages  energized in sequence)</t>
  </si>
  <si>
    <t>Peak Making Current
(amps-peak)</t>
  </si>
  <si>
    <t>Short
Circuit
Rating
(Sym, kA)</t>
  </si>
  <si>
    <t>Transient Limiting Inductor
(µH)</t>
  </si>
  <si>
    <t>Sheet Rev Date: 1-25-26</t>
  </si>
  <si>
    <t>Capacitor Bank Switching Inrush Analysis Tool</t>
  </si>
  <si>
    <r>
      <t>Stage #</t>
    </r>
    <r>
      <rPr>
        <b/>
        <vertAlign val="superscript"/>
        <sz val="10"/>
        <color theme="1"/>
        <rFont val="Calibri"/>
        <family val="2"/>
        <scheme val="minor"/>
      </rPr>
      <t>1</t>
    </r>
    <r>
      <rPr>
        <b/>
        <sz val="10"/>
        <color theme="1"/>
        <rFont val="Calibri"/>
        <family val="2"/>
        <scheme val="minor"/>
      </rPr>
      <t>:</t>
    </r>
  </si>
  <si>
    <r>
      <t>Nominal Stage Current (amps)</t>
    </r>
    <r>
      <rPr>
        <b/>
        <vertAlign val="superscript"/>
        <sz val="10"/>
        <color theme="1"/>
        <rFont val="Calibri"/>
        <family val="2"/>
        <scheme val="minor"/>
      </rPr>
      <t>2</t>
    </r>
  </si>
  <si>
    <r>
      <t>Maximum Stage Current (amps)</t>
    </r>
    <r>
      <rPr>
        <b/>
        <vertAlign val="superscript"/>
        <sz val="10"/>
        <color theme="1"/>
        <rFont val="Calibri"/>
        <family val="2"/>
        <scheme val="minor"/>
      </rPr>
      <t>3</t>
    </r>
  </si>
  <si>
    <r>
      <t>Single Stage Inrush Current (amps-peak)</t>
    </r>
    <r>
      <rPr>
        <b/>
        <vertAlign val="superscript"/>
        <sz val="10"/>
        <color theme="1"/>
        <rFont val="Calibri"/>
        <family val="2"/>
        <scheme val="minor"/>
      </rPr>
      <t>4</t>
    </r>
  </si>
  <si>
    <r>
      <t>Single Stage Inrush Frequency (HZ)</t>
    </r>
    <r>
      <rPr>
        <b/>
        <vertAlign val="superscript"/>
        <sz val="10"/>
        <color theme="1"/>
        <rFont val="Calibri"/>
        <family val="2"/>
        <scheme val="minor"/>
      </rPr>
      <t>4</t>
    </r>
  </si>
  <si>
    <r>
      <t>Back-to-Back Inrush Current (amps-peak)</t>
    </r>
    <r>
      <rPr>
        <b/>
        <vertAlign val="superscript"/>
        <sz val="10"/>
        <color theme="1"/>
        <rFont val="Calibri"/>
        <family val="2"/>
        <scheme val="minor"/>
      </rPr>
      <t>5</t>
    </r>
  </si>
  <si>
    <r>
      <t>Back-to-Back Inrush Frequency (kHz)</t>
    </r>
    <r>
      <rPr>
        <b/>
        <vertAlign val="superscript"/>
        <sz val="10"/>
        <color theme="1"/>
        <rFont val="Calibri"/>
        <family val="2"/>
        <scheme val="minor"/>
      </rPr>
      <t>5</t>
    </r>
  </si>
  <si>
    <r>
      <t>Product I x f (kAHz)</t>
    </r>
    <r>
      <rPr>
        <b/>
        <vertAlign val="superscript"/>
        <sz val="10"/>
        <color theme="1"/>
        <rFont val="Calibri"/>
        <family val="2"/>
        <scheme val="minor"/>
      </rPr>
      <t>6</t>
    </r>
  </si>
  <si>
    <t>2) Stage currents based on rated voltage and stage reactive power rating.</t>
  </si>
  <si>
    <t>4) No other stages online and calculations include feeder inductance, outrush and inrush reactor inductance.</t>
  </si>
  <si>
    <t>1) Stages are assumed to be switched on in sequence.</t>
  </si>
  <si>
    <t>3) All inrush calculations based on this value (maximum applied voltage plus capacitance tolerance).</t>
  </si>
  <si>
    <t>5) Back-to-back inrush values assume sequential operation of capacitor bank.</t>
  </si>
  <si>
    <t>Helper Table for sequential operation</t>
  </si>
  <si>
    <t>Helper Table for non-sequential operation (worst case, all other stages online).</t>
  </si>
  <si>
    <t>L' (all other stages  energized)</t>
  </si>
  <si>
    <t>Sequential Operation (stages energized in order)</t>
  </si>
  <si>
    <r>
      <t>Back-to-Back Inrush Current (amps-peak)</t>
    </r>
    <r>
      <rPr>
        <b/>
        <vertAlign val="superscript"/>
        <sz val="10"/>
        <color theme="1"/>
        <rFont val="Calibri"/>
        <family val="2"/>
        <scheme val="minor"/>
      </rPr>
      <t>7</t>
    </r>
  </si>
  <si>
    <r>
      <t>Back-to-Back Inrush Frequency (kHz)</t>
    </r>
    <r>
      <rPr>
        <b/>
        <vertAlign val="superscript"/>
        <sz val="10"/>
        <color theme="1"/>
        <rFont val="Calibri"/>
        <family val="2"/>
        <scheme val="minor"/>
      </rPr>
      <t>7</t>
    </r>
  </si>
  <si>
    <t>Non-Sequential Operation (worst case switching events for each stage)</t>
  </si>
  <si>
    <t>Capacitor Bank Neutral Connection:</t>
  </si>
  <si>
    <t>Ungrounded</t>
  </si>
  <si>
    <t>Required Margin to Switching Device Limit:</t>
  </si>
  <si>
    <r>
      <t>Short Circuit Amps at Capacitor Bank (kA</t>
    </r>
    <r>
      <rPr>
        <vertAlign val="subscript"/>
        <sz val="11"/>
        <color theme="1"/>
        <rFont val="Calibri"/>
        <family val="2"/>
        <scheme val="minor"/>
      </rPr>
      <t>3</t>
    </r>
    <r>
      <rPr>
        <vertAlign val="subscript"/>
        <sz val="11"/>
        <color theme="1"/>
        <rFont val="Aptos Narrow"/>
        <family val="2"/>
      </rPr>
      <t xml:space="preserve">ф </t>
    </r>
    <r>
      <rPr>
        <vertAlign val="subscript"/>
        <sz val="11"/>
        <color theme="1"/>
        <rFont val="Calibri"/>
        <family val="2"/>
        <scheme val="minor"/>
      </rPr>
      <t>symetrical</t>
    </r>
    <r>
      <rPr>
        <sz val="11"/>
        <color theme="1"/>
        <rFont val="Calibri"/>
        <family val="2"/>
        <scheme val="minor"/>
      </rPr>
      <t>):</t>
    </r>
  </si>
  <si>
    <t>Vac Switch</t>
  </si>
  <si>
    <t>Stage
#</t>
  </si>
  <si>
    <t xml:space="preserve">1) </t>
  </si>
  <si>
    <t>2)</t>
  </si>
  <si>
    <t>Current Rating 
(amps RMS)</t>
  </si>
  <si>
    <t>Rated Capacitive Breaking Current
(amps RMS)</t>
  </si>
  <si>
    <t>Capacitor - Maximum Positive Tolerance (%):</t>
  </si>
  <si>
    <t>3)</t>
  </si>
  <si>
    <t>4)</t>
  </si>
  <si>
    <t>5)</t>
  </si>
  <si>
    <r>
      <t>Inrush Magnitude (Safety Limit)</t>
    </r>
    <r>
      <rPr>
        <b/>
        <vertAlign val="superscript"/>
        <sz val="10"/>
        <color theme="1"/>
        <rFont val="Calibri"/>
        <family val="2"/>
        <scheme val="minor"/>
      </rPr>
      <t>4</t>
    </r>
  </si>
  <si>
    <r>
      <t>Continuous Current</t>
    </r>
    <r>
      <rPr>
        <b/>
        <vertAlign val="superscript"/>
        <sz val="10"/>
        <color theme="1"/>
        <rFont val="Calibri"/>
        <family val="2"/>
        <scheme val="minor"/>
      </rPr>
      <t>1</t>
    </r>
  </si>
  <si>
    <r>
      <t>Capacitive Current Rating</t>
    </r>
    <r>
      <rPr>
        <b/>
        <vertAlign val="superscript"/>
        <sz val="10"/>
        <color theme="1"/>
        <rFont val="Calibri"/>
        <family val="2"/>
        <scheme val="minor"/>
      </rPr>
      <t>2</t>
    </r>
  </si>
  <si>
    <r>
      <t>Inrush Magnitude</t>
    </r>
    <r>
      <rPr>
        <b/>
        <vertAlign val="superscript"/>
        <sz val="10"/>
        <color theme="1"/>
        <rFont val="Calibri"/>
        <family val="2"/>
        <scheme val="minor"/>
      </rPr>
      <t>3</t>
    </r>
  </si>
  <si>
    <r>
      <t>Maximum Inrush Frequency</t>
    </r>
    <r>
      <rPr>
        <b/>
        <vertAlign val="superscript"/>
        <sz val="10"/>
        <color theme="1"/>
        <rFont val="Calibri"/>
        <family val="2"/>
        <scheme val="minor"/>
      </rPr>
      <t>5</t>
    </r>
  </si>
  <si>
    <r>
      <t>Product
(I x f)</t>
    </r>
    <r>
      <rPr>
        <b/>
        <vertAlign val="superscript"/>
        <sz val="10"/>
        <color theme="1"/>
        <rFont val="Calibri"/>
        <family val="2"/>
        <scheme val="minor"/>
      </rPr>
      <t>6</t>
    </r>
  </si>
  <si>
    <t>6)</t>
  </si>
  <si>
    <r>
      <t>Breaker
 Class</t>
    </r>
    <r>
      <rPr>
        <b/>
        <vertAlign val="superscript"/>
        <sz val="10"/>
        <color theme="1"/>
        <rFont val="Calibri"/>
        <family val="2"/>
        <scheme val="minor"/>
      </rPr>
      <t>7</t>
    </r>
  </si>
  <si>
    <t>6) Based on back-to-back values, unless the system contains only 1 capacitor stage (bank).</t>
  </si>
  <si>
    <t>Helper Cell. Getting worst case peak current</t>
  </si>
  <si>
    <t>Helper Cell. Getting worst case frequency</t>
  </si>
  <si>
    <t>Helper Cell. Getting worst case
I x F</t>
  </si>
  <si>
    <t>Helper Cell: I X F rated.
kHZ-Amps</t>
  </si>
  <si>
    <t>7)</t>
  </si>
  <si>
    <t>Notes (Page 2):</t>
  </si>
  <si>
    <t>Notes (Page 1):</t>
  </si>
  <si>
    <t>Notes (page 3 and 4):</t>
  </si>
  <si>
    <r>
      <t xml:space="preserve">Verify the switching device continuous current rating meets or exceeds 1.35 × the nominal capacitor bank current for grounded capacitor banks (1.25 × for ungrounded capacitor bank applications). Engineering margin not applied for this verification. 
</t>
    </r>
    <r>
      <rPr>
        <b/>
        <sz val="10"/>
        <color theme="1"/>
        <rFont val="Calibri"/>
        <family val="2"/>
        <scheme val="minor"/>
      </rPr>
      <t>IEEE Std C37.012-2022, 6.4.1</t>
    </r>
    <r>
      <rPr>
        <sz val="10"/>
        <color theme="1"/>
        <rFont val="Calibri"/>
        <family val="2"/>
        <scheme val="minor"/>
      </rPr>
      <t xml:space="preserve">: Recommends 1.35 (grounded) and 1.25 (ungrounded) multipliers for circuit breakers. </t>
    </r>
    <r>
      <rPr>
        <b/>
        <sz val="10"/>
        <color theme="1"/>
        <rFont val="Calibri"/>
        <family val="2"/>
        <scheme val="minor"/>
      </rPr>
      <t>IEEE Std 1036-2020, 5.8.1</t>
    </r>
    <r>
      <rPr>
        <sz val="10"/>
        <color theme="1"/>
        <rFont val="Calibri"/>
        <family val="2"/>
        <scheme val="minor"/>
      </rPr>
      <t xml:space="preserve">: States switchgear rating is usually determined by these multipliers to account for 10% voltage rise, capacitance tolerance, and harmonic currents. </t>
    </r>
    <r>
      <rPr>
        <b/>
        <sz val="10"/>
        <color theme="1"/>
        <rFont val="Calibri"/>
        <family val="2"/>
        <scheme val="minor"/>
      </rPr>
      <t>IEEE Std C37.66-2021, 4.1</t>
    </r>
    <r>
      <rPr>
        <sz val="10"/>
        <color theme="1"/>
        <rFont val="Calibri"/>
        <family val="2"/>
        <scheme val="minor"/>
      </rPr>
      <t>: Notes that current harmonic distortion limits for switches are 3% of fundamental.</t>
    </r>
  </si>
  <si>
    <r>
      <t xml:space="preserve">Verify the switching device capacitive current rating exceeds 1.35 × nominal capacitor bank current (1.25 × for ungrounded applications). Engineering margin is not applied. For vacuum switches, use the switch rating; for breakers, use the specified capacitive switching current rating (distinct from continuous current), explicitly identified on the nameplate with class C1 or C2. </t>
    </r>
    <r>
      <rPr>
        <b/>
        <sz val="11"/>
        <color theme="1"/>
        <rFont val="Calibri"/>
        <family val="2"/>
        <scheme val="minor"/>
      </rPr>
      <t>IEEE Std C37.04-2018, 5.8:</t>
    </r>
    <r>
      <rPr>
        <sz val="11"/>
        <color theme="1"/>
        <rFont val="Calibri"/>
        <family val="2"/>
        <scheme val="minor"/>
      </rPr>
      <t xml:space="preserve"> Defines distinct ratings for capacitive switching currents.</t>
    </r>
    <r>
      <rPr>
        <b/>
        <sz val="11"/>
        <color theme="1"/>
        <rFont val="Calibri"/>
        <family val="2"/>
        <scheme val="minor"/>
      </rPr>
      <t xml:space="preserve"> IEEE Std C37.66-2021, 5.7:</t>
    </r>
    <r>
      <rPr>
        <sz val="11"/>
        <color theme="1"/>
        <rFont val="Calibri"/>
        <family val="2"/>
        <scheme val="minor"/>
      </rPr>
      <t xml:space="preserve"> Defines the Rated Capacitive Switching Current for switches</t>
    </r>
  </si>
  <si>
    <r>
      <t xml:space="preserve">Verify that the calculated peak inrush current is less than or equal to (100% − Engineering Margin) the switching device rated peak making (Inrush) current rating. </t>
    </r>
    <r>
      <rPr>
        <b/>
        <sz val="10"/>
        <color theme="1"/>
        <rFont val="Calibri"/>
        <family val="2"/>
        <scheme val="minor"/>
      </rPr>
      <t>IEEE Std C37.04-2018, 5.8.4:</t>
    </r>
    <r>
      <rPr>
        <sz val="10"/>
        <color theme="1"/>
        <rFont val="Calibri"/>
        <family val="2"/>
        <scheme val="minor"/>
      </rPr>
      <t xml:space="preserve"> Defines I</t>
    </r>
    <r>
      <rPr>
        <vertAlign val="subscript"/>
        <sz val="10"/>
        <color theme="1"/>
        <rFont val="Calibri"/>
        <family val="2"/>
        <scheme val="minor"/>
      </rPr>
      <t xml:space="preserve">bb </t>
    </r>
    <r>
      <rPr>
        <sz val="10"/>
        <color theme="1"/>
        <rFont val="Calibri"/>
        <family val="2"/>
        <scheme val="minor"/>
      </rPr>
      <t xml:space="preserve">as the peak current the breaker shall be capable of making at rated voltage.  </t>
    </r>
    <r>
      <rPr>
        <b/>
        <sz val="10"/>
        <color theme="1"/>
        <rFont val="Calibri"/>
        <family val="2"/>
        <scheme val="minor"/>
      </rPr>
      <t>IEEE Std C37.66-2021, 5.10:</t>
    </r>
    <r>
      <rPr>
        <sz val="10"/>
        <color theme="1"/>
        <rFont val="Calibri"/>
        <family val="2"/>
        <scheme val="minor"/>
      </rPr>
      <t xml:space="preserve"> Establishes preferred ratings for transient peak inrush current (typically 4 kA to 15 kA)</t>
    </r>
  </si>
  <si>
    <r>
      <t>Verify that the calculated peak inrush current does not exceed (100% − Engineering Margin) of the applicable switching device rating: the rated peak fault-making current for contactors or vacuum switches, or the close-and-latch rating for circuit breakers. (For breakers, I</t>
    </r>
    <r>
      <rPr>
        <vertAlign val="subscript"/>
        <sz val="10"/>
        <color theme="1"/>
        <rFont val="Calibri"/>
        <family val="2"/>
        <scheme val="minor"/>
      </rPr>
      <t>C&amp;L</t>
    </r>
    <r>
      <rPr>
        <sz val="10"/>
        <color theme="1"/>
        <rFont val="Calibri"/>
        <family val="2"/>
        <scheme val="minor"/>
      </rPr>
      <t xml:space="preserve"> ≈ 2.6 x Isc.). </t>
    </r>
    <r>
      <rPr>
        <b/>
        <sz val="10"/>
        <color theme="1"/>
        <rFont val="Calibri"/>
        <family val="2"/>
        <scheme val="minor"/>
      </rPr>
      <t>IEEE Std C37.04-2018, 5.6.2.3:</t>
    </r>
    <r>
      <rPr>
        <sz val="10"/>
        <color theme="1"/>
        <rFont val="Calibri"/>
        <family val="2"/>
        <scheme val="minor"/>
      </rPr>
      <t xml:space="preserve"> Defines Closing and Latching capability.  </t>
    </r>
    <r>
      <rPr>
        <b/>
        <sz val="10"/>
        <color theme="1"/>
        <rFont val="Calibri"/>
        <family val="2"/>
        <scheme val="minor"/>
      </rPr>
      <t>IEEE Std C37.66-2021, 5.5:</t>
    </r>
    <r>
      <rPr>
        <sz val="10"/>
        <color theme="1"/>
        <rFont val="Calibri"/>
        <family val="2"/>
        <scheme val="minor"/>
      </rPr>
      <t xml:space="preserve"> Defines Rated Peak Fault-Making Current.</t>
    </r>
    <r>
      <rPr>
        <b/>
        <sz val="10"/>
        <color theme="1"/>
        <rFont val="Calibri"/>
        <family val="2"/>
        <scheme val="minor"/>
      </rPr>
      <t xml:space="preserve"> IEEE Std C37.012-2022, 10.2.2:</t>
    </r>
    <r>
      <rPr>
        <sz val="10"/>
        <color theme="1"/>
        <rFont val="Calibri"/>
        <family val="2"/>
        <scheme val="minor"/>
      </rPr>
      <t xml:space="preserve"> Warns that outrush/inrush must be checked against these mechanical limits to prevent damage</t>
    </r>
  </si>
  <si>
    <r>
      <t xml:space="preserve">Verify:
For vacuum and SF6 switches - IEEE C37.66-2021, section 5.11: There is no upper limit for Inrush Frequency so long as the maximum peak inrush current rating is not exceeded.
For vacuum and SF6 breakers, IEEE C37.012, 6.3.3 states the (I x f) product must be ≤400% of the rated (I x f) product with the exception: If the inrush peak is less than 10% of its rating. The engineering margin is included in this verification.  See note 6.
</t>
    </r>
    <r>
      <rPr>
        <b/>
        <sz val="10"/>
        <color theme="1"/>
        <rFont val="Calibri"/>
        <family val="2"/>
        <scheme val="minor"/>
      </rPr>
      <t>IEEE Std C37.66-2021, 5.11:</t>
    </r>
    <r>
      <rPr>
        <sz val="10"/>
        <color theme="1"/>
        <rFont val="Calibri"/>
        <family val="2"/>
        <scheme val="minor"/>
      </rPr>
      <t xml:space="preserve"> "For switches that are not di/dt sensitive [e.g., vacuum / SF6], there is no upper limit to the natural frequency as long as the magnitude of the inrush current is less than the rated value" </t>
    </r>
  </si>
  <si>
    <r>
      <t xml:space="preserve">Verify the I × f (kA·Hz) product requirement based on switching device type (apply design margin to calculated values before comparison):
Vacuum Switch / Vacuum Contactor:  I × f limit = "No Limit". For vacuum devices that are not di/dt-sensitive, there is no upper limit on natural frequency provided the peak inrush current (with margin) is ≤ the rated inrush peak current for the device. </t>
    </r>
    <r>
      <rPr>
        <b/>
        <sz val="10"/>
        <color theme="1"/>
        <rFont val="Calibri"/>
        <family val="2"/>
        <scheme val="minor"/>
      </rPr>
      <t xml:space="preserve"> IEEE Std C37.66-2021, 5.11: </t>
    </r>
    <r>
      <rPr>
        <sz val="10"/>
        <color theme="1"/>
        <rFont val="Calibri"/>
        <family val="2"/>
        <scheme val="minor"/>
      </rPr>
      <t xml:space="preserve">Reaffirms that for Switches (unlike breakers), this product check is not required for vacuum technology.
Vacuum (or SF6) Circuit Breaker </t>
    </r>
    <r>
      <rPr>
        <b/>
        <sz val="10"/>
        <color theme="1"/>
        <rFont val="Calibri"/>
        <family val="2"/>
        <scheme val="minor"/>
      </rPr>
      <t>(IEEE C37.012-2022, 6.4.2.3)</t>
    </r>
    <r>
      <rPr>
        <sz val="10"/>
        <color theme="1"/>
        <rFont val="Calibri"/>
        <family val="2"/>
        <scheme val="minor"/>
      </rPr>
      <t>: I × f limit applies. If the peak inrush current (with margin) is ≤ the rated back-to-back inrush peak (with margin), then the frequency may exceed the rated test frequency provided: (I × f) (with margin) ≤ 4 × (I × f) rated.</t>
    </r>
  </si>
  <si>
    <r>
      <rPr>
        <b/>
        <sz val="10"/>
        <color theme="1"/>
        <rFont val="Calibri"/>
        <family val="2"/>
        <scheme val="minor"/>
      </rPr>
      <t xml:space="preserve">Breakers Only </t>
    </r>
    <r>
      <rPr>
        <sz val="10"/>
        <color theme="1"/>
        <rFont val="Calibri"/>
        <family val="2"/>
        <scheme val="minor"/>
      </rPr>
      <t xml:space="preserve">(In accordance with IEEE Std 37.04-2018, IEEE Std C37.012-2022):
</t>
    </r>
    <r>
      <rPr>
        <b/>
        <sz val="10"/>
        <color theme="1"/>
        <rFont val="Calibri"/>
        <family val="2"/>
        <scheme val="minor"/>
      </rPr>
      <t>Single-Bank (Isolated) Applications:</t>
    </r>
    <r>
      <rPr>
        <sz val="10"/>
        <color theme="1"/>
        <rFont val="Calibri"/>
        <family val="2"/>
        <scheme val="minor"/>
      </rPr>
      <t xml:space="preserve">
C0, C1, or C2 breakers may be acceptable, depending on voltage and application; C2 is generally recommended for substation capacitor banks where restrikes are of concern. For reliablity reasons, VarStec recommends C2 rated breakers. C1 may be acceptable for infrequent switching operation, and C0 only where restriked are not a concern.
</t>
    </r>
    <r>
      <rPr>
        <b/>
        <sz val="10"/>
        <color theme="1"/>
        <rFont val="Calibri"/>
        <family val="2"/>
        <scheme val="minor"/>
      </rPr>
      <t xml:space="preserve">
Back-to-Back Applications:
</t>
    </r>
    <r>
      <rPr>
        <sz val="10"/>
        <color theme="1"/>
        <rFont val="Calibri"/>
        <family val="2"/>
        <scheme val="minor"/>
      </rPr>
      <t xml:space="preserve">C2 is generally recommended and provides for a very low probability of restrike. C1 is permitted if properly rated and where a low probability of restrike is acceptable. </t>
    </r>
    <r>
      <rPr>
        <b/>
        <sz val="10"/>
        <color theme="1"/>
        <rFont val="Calibri"/>
        <family val="2"/>
        <scheme val="minor"/>
      </rPr>
      <t>C0 is not permitted.
IEEE Std C37.04-2018, Table 11,</t>
    </r>
    <r>
      <rPr>
        <sz val="10"/>
        <color theme="1"/>
        <rFont val="Calibri"/>
        <family val="2"/>
        <scheme val="minor"/>
      </rPr>
      <t xml:space="preserve"> </t>
    </r>
    <r>
      <rPr>
        <b/>
        <sz val="10"/>
        <color theme="1"/>
        <rFont val="Calibri"/>
        <family val="2"/>
        <scheme val="minor"/>
      </rPr>
      <t xml:space="preserve">Note 1: </t>
    </r>
    <r>
      <rPr>
        <sz val="10"/>
        <color theme="1"/>
        <rFont val="Calibri"/>
        <family val="2"/>
        <scheme val="minor"/>
      </rPr>
      <t xml:space="preserve">States that for Class C0 breakers, "no ratings for back-to-back capacitor switching applications are established". </t>
    </r>
    <r>
      <rPr>
        <b/>
        <sz val="10"/>
        <color theme="1"/>
        <rFont val="Calibri"/>
        <family val="2"/>
        <scheme val="minor"/>
      </rPr>
      <t>IEEE Std C37.012-2022, 5.7:</t>
    </r>
    <r>
      <rPr>
        <sz val="10"/>
        <color theme="1"/>
        <rFont val="Calibri"/>
        <family val="2"/>
        <scheme val="minor"/>
      </rPr>
      <t xml:space="preserve"> States "Class C2 is recommended for capacitor bank circuit breakers" to ensure very low probability of restrike.
</t>
    </r>
  </si>
  <si>
    <t>7) All other stages online and calculations include feeder inductance, outrush and inrush reactor inductance.</t>
  </si>
  <si>
    <t>Technical Overview &amp; Standards Compliance</t>
  </si>
  <si>
    <t>Close and Latch or Rated Fault-Making Current
(amps-Peak)</t>
  </si>
  <si>
    <t>Stage-by-Stage Switching Device Compliance Table</t>
  </si>
  <si>
    <t>Disclaimer and Use Limitation</t>
  </si>
  <si>
    <t>This spreadsheet is provided for preliminary engineering evaluation only. The calculations are based on simplified, steady-state models and user-supplied input data and are intended to support initial screening, comparative analysis, and conceptual design.  It is intended for use only by qualified technical professionals and should not be used as a substitute for detailed engineering studies, manufacturer-validated analyses, or final design verification. VarStec Power Solutions, LLC makes no representations or warranties, express or implied, and assumes no responsibility or liability for decisions or actions taken based on use of this tool.</t>
  </si>
  <si>
    <t xml:space="preserve">Enter Project Name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</si>
</sst>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u/>
      <sz val="11"/>
      <color theme="10"/>
      <name val="Calibri"/>
      <family val="2"/>
      <scheme val="minor"/>
    </font>
    <font>
      <i/>
      <sz val="10"/>
      <color theme="0" tint="-0.14999847407452621"/>
      <name val="Calibri"/>
      <family val="2"/>
      <scheme val="minor"/>
    </font>
    <font>
      <b/>
      <sz val="16"/>
      <color rgb="FF0E9ED9"/>
      <name val="Calibri"/>
      <family val="2"/>
      <scheme val="minor"/>
    </font>
    <font>
      <sz val="11"/>
      <color rgb="FF0E9ED9"/>
      <name val="Calibri"/>
      <family val="2"/>
      <scheme val="minor"/>
    </font>
    <font>
      <sz val="11"/>
      <name val="Calibri"/>
      <family val="2"/>
      <scheme val="minor"/>
    </font>
    <font>
      <vertAlign val="subscript"/>
      <sz val="11"/>
      <color theme="1"/>
      <name val="Calibri"/>
      <family val="2"/>
      <scheme val="minor"/>
    </font>
    <font>
      <sz val="11"/>
      <color theme="1"/>
      <name val="Calibri"/>
      <family val="2"/>
    </font>
    <font>
      <vertAlign val="superscript"/>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b/>
      <sz val="10"/>
      <color rgb="FF0E9ED9"/>
      <name val="Calibri"/>
      <family val="2"/>
      <scheme val="minor"/>
    </font>
    <font>
      <b/>
      <sz val="14"/>
      <color rgb="FF00B0F0"/>
      <name val="Calibri"/>
      <family val="2"/>
      <scheme val="minor"/>
    </font>
    <font>
      <sz val="11"/>
      <color rgb="FFFF0000"/>
      <name val="Calibri"/>
      <family val="2"/>
      <scheme val="minor"/>
    </font>
    <font>
      <sz val="8"/>
      <name val="Calibri"/>
      <family val="2"/>
      <scheme val="minor"/>
    </font>
    <font>
      <i/>
      <sz val="10"/>
      <color theme="1"/>
      <name val="Calibri"/>
      <family val="2"/>
      <scheme val="minor"/>
    </font>
    <font>
      <vertAlign val="subscript"/>
      <sz val="11"/>
      <color theme="1"/>
      <name val="Aptos Narrow"/>
      <family val="2"/>
    </font>
    <font>
      <b/>
      <sz val="12"/>
      <color rgb="FF00B0F0"/>
      <name val="Calibri"/>
      <family val="2"/>
      <scheme val="minor"/>
    </font>
    <font>
      <vertAlign val="subscript"/>
      <sz val="10"/>
      <color theme="1"/>
      <name val="Calibri"/>
      <family val="2"/>
      <scheme val="minor"/>
    </font>
    <font>
      <b/>
      <sz val="11"/>
      <color rgb="FF303030"/>
      <name val="Arial"/>
      <family val="2"/>
    </font>
    <font>
      <b/>
      <sz val="14"/>
      <color theme="1"/>
      <name val="Calibri"/>
      <family val="2"/>
      <scheme val="minor"/>
    </font>
  </fonts>
  <fills count="5">
    <fill>
      <patternFill patternType="none"/>
    </fill>
    <fill>
      <patternFill patternType="gray125"/>
    </fill>
    <fill>
      <patternFill patternType="solid">
        <fgColor rgb="FFFFFFCC"/>
      </patternFill>
    </fill>
    <fill>
      <patternFill patternType="solid">
        <fgColor rgb="FFB8E7FA"/>
        <bgColor indexed="64"/>
      </patternFill>
    </fill>
    <fill>
      <patternFill patternType="solid">
        <fgColor theme="0"/>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top/>
      <bottom style="thin">
        <color indexed="64"/>
      </bottom>
      <diagonal/>
    </border>
    <border>
      <left style="thin">
        <color rgb="FFB2B2B2"/>
      </left>
      <right style="thin">
        <color rgb="FFB2B2B2"/>
      </right>
      <top style="thin">
        <color rgb="FFC00000"/>
      </top>
      <bottom style="thin">
        <color rgb="FFB2B2B2"/>
      </bottom>
      <diagonal/>
    </border>
    <border>
      <left style="thin">
        <color rgb="FFB2B2B2"/>
      </left>
      <right style="thin">
        <color rgb="FFB2B2B2"/>
      </right>
      <top/>
      <bottom style="thin">
        <color rgb="FFB2B2B2"/>
      </bottom>
      <diagonal/>
    </border>
    <border>
      <left style="thin">
        <color rgb="FFB2B2B2"/>
      </left>
      <right/>
      <top style="thin">
        <color rgb="FFC00000"/>
      </top>
      <bottom style="thin">
        <color rgb="FFB2B2B2"/>
      </bottom>
      <diagonal/>
    </border>
    <border>
      <left/>
      <right/>
      <top style="thin">
        <color rgb="FFC00000"/>
      </top>
      <bottom style="thin">
        <color rgb="FFB2B2B2"/>
      </bottom>
      <diagonal/>
    </border>
    <border>
      <left/>
      <right style="thin">
        <color rgb="FFB2B2B2"/>
      </right>
      <top style="thin">
        <color rgb="FFC00000"/>
      </top>
      <bottom style="thin">
        <color rgb="FFB2B2B2"/>
      </bottom>
      <diagonal/>
    </border>
    <border>
      <left/>
      <right/>
      <top/>
      <bottom style="thin">
        <color rgb="FFFF0000"/>
      </bottom>
      <diagonal/>
    </border>
  </borders>
  <cellStyleXfs count="3">
    <xf numFmtId="0" fontId="0" fillId="0" borderId="0"/>
    <xf numFmtId="0" fontId="1" fillId="2" borderId="1" applyNumberFormat="0" applyFont="0" applyAlignment="0" applyProtection="0"/>
    <xf numFmtId="0" fontId="5" fillId="0" borderId="0" applyNumberFormat="0" applyFill="0" applyBorder="0" applyAlignment="0" applyProtection="0"/>
  </cellStyleXfs>
  <cellXfs count="154">
    <xf numFmtId="0" fontId="0" fillId="0" borderId="0" xfId="0"/>
    <xf numFmtId="0" fontId="0" fillId="0" borderId="0" xfId="0" applyProtection="1">
      <protection hidden="1"/>
    </xf>
    <xf numFmtId="0" fontId="0" fillId="0" borderId="0" xfId="0" applyAlignment="1" applyProtection="1">
      <alignment horizontal="center"/>
      <protection hidden="1"/>
    </xf>
    <xf numFmtId="2" fontId="0" fillId="0" borderId="0" xfId="0" applyNumberFormat="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0" fontId="3" fillId="0" borderId="0" xfId="0" applyFont="1" applyAlignment="1" applyProtection="1">
      <alignment horizontal="right" vertical="center"/>
      <protection hidden="1"/>
    </xf>
    <xf numFmtId="0" fontId="0" fillId="0" borderId="6" xfId="0" applyBorder="1" applyProtection="1">
      <protection hidden="1"/>
    </xf>
    <xf numFmtId="0" fontId="0" fillId="0" borderId="0" xfId="0" applyAlignment="1" applyProtection="1">
      <alignment horizontal="right" vertical="center"/>
      <protection hidden="1"/>
    </xf>
    <xf numFmtId="0" fontId="0" fillId="0" borderId="7" xfId="0" applyBorder="1" applyProtection="1">
      <protection hidden="1"/>
    </xf>
    <xf numFmtId="0" fontId="0" fillId="0" borderId="7" xfId="0" applyBorder="1" applyAlignment="1" applyProtection="1">
      <alignment horizontal="righ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protection hidden="1"/>
    </xf>
    <xf numFmtId="0" fontId="4" fillId="0" borderId="0" xfId="0" applyFont="1" applyProtection="1">
      <protection hidden="1"/>
    </xf>
    <xf numFmtId="0" fontId="2" fillId="0" borderId="0" xfId="0" applyFont="1" applyAlignment="1" applyProtection="1">
      <alignment horizontal="right" vertical="center"/>
      <protection hidden="1"/>
    </xf>
    <xf numFmtId="0" fontId="2" fillId="0" borderId="0" xfId="0" applyFont="1" applyProtection="1">
      <protection hidden="1"/>
    </xf>
    <xf numFmtId="0" fontId="4" fillId="0" borderId="6" xfId="0" applyFont="1" applyBorder="1" applyProtection="1">
      <protection hidden="1"/>
    </xf>
    <xf numFmtId="0" fontId="4" fillId="0" borderId="6" xfId="0" applyFont="1" applyBorder="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right"/>
      <protection hidden="1"/>
    </xf>
    <xf numFmtId="0" fontId="0" fillId="0" borderId="9" xfId="0" applyBorder="1" applyProtection="1">
      <protection hidden="1"/>
    </xf>
    <xf numFmtId="0" fontId="0" fillId="0" borderId="6" xfId="0" applyBorder="1" applyAlignment="1" applyProtection="1">
      <alignment vertical="center"/>
      <protection hidden="1"/>
    </xf>
    <xf numFmtId="0" fontId="5" fillId="0" borderId="0" xfId="2" quotePrefix="1" applyBorder="1" applyProtection="1">
      <protection hidden="1"/>
    </xf>
    <xf numFmtId="0" fontId="0" fillId="0" borderId="13" xfId="0" applyBorder="1" applyProtection="1">
      <protection hidden="1"/>
    </xf>
    <xf numFmtId="0" fontId="6" fillId="0" borderId="9" xfId="0" applyFont="1" applyBorder="1" applyProtection="1">
      <protection hidden="1"/>
    </xf>
    <xf numFmtId="0" fontId="0" fillId="0" borderId="14" xfId="0" applyBorder="1" applyProtection="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8" xfId="0" applyFont="1" applyBorder="1" applyAlignment="1" applyProtection="1">
      <alignment vertical="center" wrapText="1"/>
      <protection hidden="1"/>
    </xf>
    <xf numFmtId="0" fontId="3" fillId="0" borderId="0" xfId="0" applyFont="1" applyProtection="1">
      <protection hidden="1"/>
    </xf>
    <xf numFmtId="0" fontId="3" fillId="0" borderId="0" xfId="0" applyFont="1" applyAlignment="1" applyProtection="1">
      <alignment vertical="center"/>
      <protection hidden="1"/>
    </xf>
    <xf numFmtId="0" fontId="2" fillId="0" borderId="0" xfId="0" applyFont="1" applyAlignment="1" applyProtection="1">
      <alignment vertical="center"/>
      <protection hidden="1"/>
    </xf>
    <xf numFmtId="14" fontId="0" fillId="0" borderId="0" xfId="0" applyNumberFormat="1" applyAlignment="1" applyProtection="1">
      <alignment vertical="center"/>
      <protection hidden="1"/>
    </xf>
    <xf numFmtId="14" fontId="0" fillId="0" borderId="0" xfId="0" applyNumberFormat="1" applyAlignment="1" applyProtection="1">
      <alignment horizontal="right" vertical="center"/>
      <protection hidden="1"/>
    </xf>
    <xf numFmtId="0" fontId="8" fillId="0" borderId="0" xfId="0" applyFont="1" applyProtection="1">
      <protection hidden="1"/>
    </xf>
    <xf numFmtId="0" fontId="9" fillId="0" borderId="0" xfId="0" applyFont="1" applyAlignment="1" applyProtection="1">
      <alignment vertical="top"/>
      <protection hidden="1"/>
    </xf>
    <xf numFmtId="0" fontId="4" fillId="0" borderId="0" xfId="0" applyFont="1" applyAlignment="1" applyProtection="1">
      <alignment vertical="top"/>
      <protection hidden="1"/>
    </xf>
    <xf numFmtId="0" fontId="13" fillId="0" borderId="0" xfId="0" applyFont="1" applyProtection="1">
      <protection hidden="1"/>
    </xf>
    <xf numFmtId="0" fontId="13" fillId="0" borderId="0" xfId="0" applyFont="1" applyAlignment="1" applyProtection="1">
      <alignment horizontal="right"/>
      <protection hidden="1"/>
    </xf>
    <xf numFmtId="0" fontId="13" fillId="0" borderId="0" xfId="0" applyFont="1" applyAlignment="1" applyProtection="1">
      <alignment wrapText="1"/>
      <protection hidden="1"/>
    </xf>
    <xf numFmtId="3" fontId="13" fillId="0" borderId="0" xfId="0" applyNumberFormat="1" applyFont="1" applyProtection="1">
      <protection hidden="1"/>
    </xf>
    <xf numFmtId="0" fontId="3" fillId="0" borderId="0" xfId="0"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0" applyFont="1" applyAlignment="1" applyProtection="1">
      <alignment vertical="top"/>
      <protection hidden="1"/>
    </xf>
    <xf numFmtId="0" fontId="17" fillId="0" borderId="0" xfId="0" applyFont="1" applyProtection="1">
      <protection hidden="1"/>
    </xf>
    <xf numFmtId="0" fontId="0" fillId="0" borderId="0" xfId="0" applyAlignment="1" applyProtection="1">
      <alignment horizontal="left"/>
      <protection hidden="1"/>
    </xf>
    <xf numFmtId="0" fontId="18" fillId="0" borderId="0" xfId="0" applyFont="1" applyProtection="1">
      <protection hidden="1"/>
    </xf>
    <xf numFmtId="0" fontId="20" fillId="0" borderId="0" xfId="0" applyFont="1" applyProtection="1">
      <protection hidden="1"/>
    </xf>
    <xf numFmtId="0" fontId="20" fillId="0" borderId="0" xfId="0" applyFont="1" applyAlignment="1" applyProtection="1">
      <alignment vertical="center"/>
      <protection hidden="1"/>
    </xf>
    <xf numFmtId="0" fontId="20" fillId="0" borderId="0" xfId="0" applyFont="1" applyAlignment="1" applyProtection="1">
      <alignment vertical="top" wrapText="1"/>
      <protection hidden="1"/>
    </xf>
    <xf numFmtId="0" fontId="2" fillId="0" borderId="9" xfId="0" applyFont="1" applyBorder="1" applyProtection="1">
      <protection hidden="1"/>
    </xf>
    <xf numFmtId="0" fontId="20" fillId="0" borderId="3" xfId="0" applyFont="1" applyBorder="1" applyProtection="1">
      <protection hidden="1"/>
    </xf>
    <xf numFmtId="0" fontId="0" fillId="0" borderId="9" xfId="0" applyBorder="1" applyAlignment="1" applyProtection="1">
      <alignment horizontal="left"/>
      <protection hidden="1"/>
    </xf>
    <xf numFmtId="0" fontId="0" fillId="0" borderId="9" xfId="0" applyBorder="1" applyAlignment="1" applyProtection="1">
      <alignment horizontal="right"/>
      <protection hidden="1"/>
    </xf>
    <xf numFmtId="0" fontId="0" fillId="0" borderId="9" xfId="0" applyBorder="1" applyAlignment="1" applyProtection="1">
      <alignment wrapText="1"/>
      <protection hidden="1"/>
    </xf>
    <xf numFmtId="0" fontId="14" fillId="0" borderId="0" xfId="0" applyFont="1" applyProtection="1">
      <protection hidden="1"/>
    </xf>
    <xf numFmtId="0" fontId="13" fillId="0" borderId="9" xfId="0" applyFont="1" applyBorder="1" applyProtection="1">
      <protection hidden="1"/>
    </xf>
    <xf numFmtId="0" fontId="13" fillId="0" borderId="0" xfId="0" applyFont="1" applyAlignment="1" applyProtection="1">
      <alignment vertical="top"/>
      <protection hidden="1"/>
    </xf>
    <xf numFmtId="0" fontId="2" fillId="0" borderId="6" xfId="0" applyFont="1" applyBorder="1" applyProtection="1">
      <protection hidden="1"/>
    </xf>
    <xf numFmtId="164" fontId="0" fillId="0" borderId="0" xfId="0" applyNumberFormat="1" applyProtection="1">
      <protection hidden="1"/>
    </xf>
    <xf numFmtId="165" fontId="0" fillId="0" borderId="0" xfId="0" applyNumberFormat="1" applyProtection="1">
      <protection hidden="1"/>
    </xf>
    <xf numFmtId="0" fontId="13" fillId="0" borderId="0" xfId="0" applyFont="1" applyAlignment="1" applyProtection="1">
      <alignment horizontal="center" wrapText="1"/>
      <protection hidden="1"/>
    </xf>
    <xf numFmtId="0" fontId="14" fillId="0" borderId="9" xfId="0" applyFont="1" applyBorder="1" applyProtection="1">
      <protection hidden="1"/>
    </xf>
    <xf numFmtId="0" fontId="7" fillId="0" borderId="0" xfId="0" applyFont="1" applyAlignment="1" applyProtection="1">
      <alignment vertical="top" wrapText="1"/>
      <protection hidden="1"/>
    </xf>
    <xf numFmtId="0" fontId="24" fillId="0" borderId="0" xfId="0" applyFont="1"/>
    <xf numFmtId="0" fontId="25" fillId="0" borderId="0" xfId="0" applyFont="1" applyProtection="1">
      <protection hidden="1"/>
    </xf>
    <xf numFmtId="0" fontId="25" fillId="0" borderId="0" xfId="0" applyFont="1"/>
    <xf numFmtId="0" fontId="9" fillId="0" borderId="0" xfId="0" applyFont="1" applyAlignment="1" applyProtection="1">
      <alignment vertical="top" wrapText="1"/>
      <protection hidden="1"/>
    </xf>
    <xf numFmtId="0" fontId="4" fillId="0" borderId="9" xfId="0" applyFont="1" applyBorder="1" applyAlignment="1" applyProtection="1">
      <alignment vertical="center"/>
      <protection hidden="1"/>
    </xf>
    <xf numFmtId="1" fontId="13" fillId="4" borderId="1" xfId="1" applyNumberFormat="1" applyFont="1" applyFill="1" applyAlignment="1" applyProtection="1">
      <alignment horizontal="center"/>
      <protection hidden="1"/>
    </xf>
    <xf numFmtId="3" fontId="13" fillId="4" borderId="1" xfId="1" applyNumberFormat="1" applyFont="1" applyFill="1" applyAlignment="1" applyProtection="1">
      <alignment horizontal="center"/>
      <protection hidden="1"/>
    </xf>
    <xf numFmtId="2" fontId="13" fillId="4" borderId="1" xfId="1" applyNumberFormat="1" applyFont="1" applyFill="1" applyAlignment="1" applyProtection="1">
      <alignment horizontal="center"/>
      <protection hidden="1"/>
    </xf>
    <xf numFmtId="0" fontId="22" fillId="0" borderId="9" xfId="0" applyFont="1" applyBorder="1" applyAlignment="1" applyProtection="1">
      <alignment horizontal="center" vertical="center" wrapText="1"/>
      <protection hidden="1"/>
    </xf>
    <xf numFmtId="0" fontId="13" fillId="4" borderId="1" xfId="1" applyFont="1" applyFill="1" applyAlignment="1" applyProtection="1">
      <alignment horizontal="center"/>
      <protection hidden="1"/>
    </xf>
    <xf numFmtId="164" fontId="13" fillId="4" borderId="1" xfId="1" applyNumberFormat="1" applyFont="1" applyFill="1"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Alignment="1" applyProtection="1">
      <alignment horizontal="center"/>
      <protection hidden="1"/>
    </xf>
    <xf numFmtId="3" fontId="0" fillId="0" borderId="0" xfId="0" applyNumberFormat="1" applyAlignment="1" applyProtection="1">
      <alignment horizontal="center"/>
      <protection hidden="1"/>
    </xf>
    <xf numFmtId="2" fontId="18" fillId="0" borderId="0" xfId="0" applyNumberFormat="1" applyFont="1" applyAlignment="1" applyProtection="1">
      <alignment horizontal="center"/>
      <protection hidden="1"/>
    </xf>
    <xf numFmtId="0" fontId="18" fillId="0" borderId="0" xfId="0" applyFont="1" applyAlignment="1" applyProtection="1">
      <alignment horizontal="center"/>
      <protection hidden="1"/>
    </xf>
    <xf numFmtId="0" fontId="4" fillId="0" borderId="0" xfId="0" applyFont="1" applyAlignment="1" applyProtection="1">
      <alignment horizontal="center" vertical="center" wrapText="1"/>
      <protection hidden="1"/>
    </xf>
    <xf numFmtId="166" fontId="0" fillId="0" borderId="0" xfId="0" applyNumberFormat="1" applyAlignment="1" applyProtection="1">
      <alignment horizontal="center"/>
      <protection hidden="1"/>
    </xf>
    <xf numFmtId="0" fontId="14" fillId="0" borderId="0" xfId="0" applyFont="1" applyAlignment="1" applyProtection="1">
      <alignment horizontal="center"/>
      <protection hidden="1"/>
    </xf>
    <xf numFmtId="0" fontId="13" fillId="4" borderId="19" xfId="1" applyFont="1" applyFill="1" applyBorder="1" applyAlignment="1" applyProtection="1">
      <alignment horizontal="center"/>
      <protection hidden="1"/>
    </xf>
    <xf numFmtId="0" fontId="22" fillId="0" borderId="9" xfId="0" applyFont="1" applyBorder="1" applyAlignment="1" applyProtection="1">
      <alignment horizontal="center"/>
      <protection hidden="1"/>
    </xf>
    <xf numFmtId="3" fontId="13" fillId="4" borderId="19" xfId="1" applyNumberFormat="1" applyFont="1" applyFill="1" applyBorder="1" applyAlignment="1" applyProtection="1">
      <alignment horizontal="center"/>
      <protection hidden="1"/>
    </xf>
    <xf numFmtId="2" fontId="13" fillId="4" borderId="21" xfId="1" applyNumberFormat="1" applyFont="1" applyFill="1" applyBorder="1" applyAlignment="1" applyProtection="1">
      <alignment horizontal="center"/>
      <protection hidden="1"/>
    </xf>
    <xf numFmtId="2" fontId="13" fillId="4" borderId="22" xfId="1" applyNumberFormat="1" applyFont="1" applyFill="1" applyBorder="1" applyAlignment="1" applyProtection="1">
      <alignment horizontal="center"/>
      <protection hidden="1"/>
    </xf>
    <xf numFmtId="2" fontId="13" fillId="4" borderId="23" xfId="1" applyNumberFormat="1" applyFont="1" applyFill="1" applyBorder="1" applyAlignment="1" applyProtection="1">
      <alignment horizontal="center"/>
      <protection hidden="1"/>
    </xf>
    <xf numFmtId="0" fontId="14" fillId="0" borderId="3" xfId="0" applyFont="1" applyBorder="1" applyAlignment="1" applyProtection="1">
      <alignment horizontal="center" wrapText="1"/>
      <protection hidden="1"/>
    </xf>
    <xf numFmtId="0" fontId="14" fillId="0" borderId="0" xfId="0" applyFont="1" applyAlignment="1" applyProtection="1">
      <alignment horizontal="center" wrapText="1"/>
      <protection hidden="1"/>
    </xf>
    <xf numFmtId="0" fontId="14" fillId="0" borderId="9" xfId="0" applyFont="1" applyBorder="1" applyAlignment="1" applyProtection="1">
      <alignment horizontal="center" wrapText="1"/>
      <protection hidden="1"/>
    </xf>
    <xf numFmtId="0" fontId="0" fillId="0" borderId="0" xfId="0" applyAlignment="1" applyProtection="1">
      <alignment horizontal="center" wrapText="1"/>
      <protection hidden="1"/>
    </xf>
    <xf numFmtId="0" fontId="18" fillId="0" borderId="18" xfId="0" applyFont="1" applyBorder="1" applyAlignment="1" applyProtection="1">
      <alignment horizontal="center"/>
      <protection hidden="1"/>
    </xf>
    <xf numFmtId="0" fontId="18" fillId="0" borderId="0" xfId="0" applyFont="1" applyAlignment="1" applyProtection="1">
      <alignment horizontal="center" wrapText="1"/>
      <protection hidden="1"/>
    </xf>
    <xf numFmtId="0" fontId="0" fillId="3" borderId="1" xfId="1" applyFont="1" applyFill="1" applyAlignment="1" applyProtection="1">
      <alignment horizontal="left" vertical="center"/>
      <protection locked="0"/>
    </xf>
    <xf numFmtId="0" fontId="0" fillId="3" borderId="1" xfId="1" applyFont="1" applyFill="1" applyAlignment="1" applyProtection="1">
      <alignment horizontal="left" vertical="center" indent="1"/>
      <protection locked="0"/>
    </xf>
    <xf numFmtId="0" fontId="0" fillId="3" borderId="15" xfId="1" applyFont="1" applyFill="1" applyBorder="1" applyAlignment="1" applyProtection="1">
      <alignment horizontal="left" vertical="center" indent="1"/>
      <protection locked="0"/>
    </xf>
    <xf numFmtId="0" fontId="0" fillId="3" borderId="16" xfId="1" applyFont="1" applyFill="1" applyBorder="1" applyAlignment="1" applyProtection="1">
      <alignment horizontal="left" vertical="center" indent="1"/>
      <protection locked="0"/>
    </xf>
    <xf numFmtId="0" fontId="0" fillId="3" borderId="17" xfId="1" applyFont="1" applyFill="1" applyBorder="1" applyAlignment="1" applyProtection="1">
      <alignment horizontal="left" vertical="center" indent="1"/>
      <protection locked="0"/>
    </xf>
    <xf numFmtId="165" fontId="0" fillId="3" borderId="1" xfId="1" applyNumberFormat="1" applyFont="1" applyFill="1" applyAlignment="1" applyProtection="1">
      <alignment horizontal="center"/>
      <protection locked="0"/>
    </xf>
    <xf numFmtId="0" fontId="0" fillId="3" borderId="1" xfId="1" applyFont="1" applyFill="1" applyAlignment="1" applyProtection="1">
      <alignment horizontal="center"/>
      <protection locked="0"/>
    </xf>
    <xf numFmtId="0" fontId="14" fillId="0" borderId="9" xfId="0" applyFont="1" applyBorder="1" applyAlignment="1" applyProtection="1">
      <alignment horizontal="center"/>
      <protection hidden="1"/>
    </xf>
    <xf numFmtId="0" fontId="13" fillId="4" borderId="20" xfId="1" applyFont="1" applyFill="1" applyBorder="1" applyAlignment="1" applyProtection="1">
      <alignment horizontal="center"/>
      <protection hidden="1"/>
    </xf>
    <xf numFmtId="164" fontId="13" fillId="4" borderId="19" xfId="1" applyNumberFormat="1" applyFont="1" applyFill="1" applyBorder="1" applyAlignment="1" applyProtection="1">
      <alignment horizontal="center"/>
      <protection hidden="1"/>
    </xf>
    <xf numFmtId="1" fontId="13" fillId="4" borderId="19" xfId="1" applyNumberFormat="1" applyFont="1" applyFill="1" applyBorder="1" applyAlignment="1" applyProtection="1">
      <alignment horizontal="center"/>
      <protection hidden="1"/>
    </xf>
    <xf numFmtId="0" fontId="0" fillId="0" borderId="0" xfId="0" applyAlignment="1" applyProtection="1">
      <alignment horizontal="right" vertical="center"/>
      <protection hidden="1"/>
    </xf>
    <xf numFmtId="0" fontId="13" fillId="3" borderId="1" xfId="1" applyFont="1" applyFill="1" applyAlignment="1" applyProtection="1">
      <alignment horizontal="center"/>
      <protection locked="0"/>
    </xf>
    <xf numFmtId="3" fontId="13" fillId="3" borderId="1" xfId="1" applyNumberFormat="1" applyFont="1" applyFill="1" applyAlignment="1" applyProtection="1">
      <alignment horizontal="center"/>
      <protection locked="0"/>
    </xf>
    <xf numFmtId="3" fontId="13" fillId="3" borderId="15" xfId="1" applyNumberFormat="1" applyFont="1" applyFill="1" applyBorder="1" applyAlignment="1" applyProtection="1">
      <alignment horizontal="center"/>
      <protection locked="0"/>
    </xf>
    <xf numFmtId="3" fontId="13" fillId="3" borderId="16" xfId="1" applyNumberFormat="1" applyFont="1" applyFill="1" applyBorder="1" applyAlignment="1" applyProtection="1">
      <alignment horizontal="center"/>
      <protection locked="0"/>
    </xf>
    <xf numFmtId="3" fontId="13" fillId="3" borderId="17" xfId="1" applyNumberFormat="1" applyFont="1" applyFill="1" applyBorder="1" applyAlignment="1" applyProtection="1">
      <alignment horizontal="center"/>
      <protection locked="0"/>
    </xf>
    <xf numFmtId="0" fontId="13" fillId="3" borderId="15" xfId="1" applyFont="1" applyFill="1" applyBorder="1" applyAlignment="1" applyProtection="1">
      <alignment horizontal="center"/>
      <protection locked="0"/>
    </xf>
    <xf numFmtId="0" fontId="13" fillId="3" borderId="16" xfId="1" applyFont="1" applyFill="1" applyBorder="1" applyAlignment="1" applyProtection="1">
      <alignment horizontal="center"/>
      <protection locked="0"/>
    </xf>
    <xf numFmtId="0" fontId="13" fillId="3" borderId="17" xfId="1" applyFont="1" applyFill="1" applyBorder="1" applyAlignment="1" applyProtection="1">
      <alignment horizontal="center"/>
      <protection locked="0"/>
    </xf>
    <xf numFmtId="0" fontId="13" fillId="3" borderId="19" xfId="1" applyFont="1" applyFill="1" applyBorder="1" applyAlignment="1" applyProtection="1">
      <alignment horizontal="center"/>
      <protection locked="0"/>
    </xf>
    <xf numFmtId="0" fontId="17" fillId="0" borderId="0" xfId="0" applyFont="1" applyAlignment="1" applyProtection="1">
      <alignment horizontal="center"/>
      <protection hidden="1"/>
    </xf>
    <xf numFmtId="3" fontId="13" fillId="3" borderId="19" xfId="1" applyNumberFormat="1" applyFont="1" applyFill="1" applyBorder="1" applyAlignment="1" applyProtection="1">
      <alignment horizontal="center"/>
      <protection locked="0"/>
    </xf>
    <xf numFmtId="164" fontId="13" fillId="4" borderId="20" xfId="1" applyNumberFormat="1" applyFont="1" applyFill="1" applyBorder="1" applyAlignment="1" applyProtection="1">
      <alignment horizontal="center"/>
      <protection hidden="1"/>
    </xf>
    <xf numFmtId="2" fontId="13" fillId="4" borderId="19" xfId="1" applyNumberFormat="1" applyFont="1" applyFill="1" applyBorder="1" applyAlignment="1" applyProtection="1">
      <alignment horizontal="center"/>
      <protection hidden="1"/>
    </xf>
    <xf numFmtId="164" fontId="18" fillId="0" borderId="0" xfId="0" applyNumberFormat="1" applyFont="1" applyAlignment="1" applyProtection="1">
      <alignment horizontal="center"/>
      <protection hidden="1"/>
    </xf>
    <xf numFmtId="0" fontId="13" fillId="3" borderId="21" xfId="1" applyFont="1" applyFill="1" applyBorder="1" applyAlignment="1" applyProtection="1">
      <alignment horizontal="center"/>
      <protection locked="0"/>
    </xf>
    <xf numFmtId="0" fontId="13" fillId="3" borderId="22" xfId="1" applyFont="1" applyFill="1" applyBorder="1" applyAlignment="1" applyProtection="1">
      <alignment horizontal="center"/>
      <protection locked="0"/>
    </xf>
    <xf numFmtId="0" fontId="13" fillId="3" borderId="23" xfId="1" applyFont="1" applyFill="1" applyBorder="1" applyAlignment="1" applyProtection="1">
      <alignment horizontal="center"/>
      <protection locked="0"/>
    </xf>
    <xf numFmtId="0" fontId="13" fillId="4" borderId="1" xfId="1" applyFont="1" applyFill="1" applyAlignment="1" applyProtection="1">
      <alignment horizontal="center" wrapText="1"/>
      <protection hidden="1"/>
    </xf>
    <xf numFmtId="0" fontId="13" fillId="0" borderId="0" xfId="0" applyFont="1" applyAlignment="1" applyProtection="1">
      <alignment horizontal="left" vertical="top"/>
      <protection hidden="1"/>
    </xf>
    <xf numFmtId="0" fontId="13" fillId="0" borderId="3" xfId="0" applyFont="1" applyBorder="1" applyAlignment="1" applyProtection="1">
      <alignment horizontal="center" vertical="top"/>
      <protection hidden="1"/>
    </xf>
    <xf numFmtId="0" fontId="13" fillId="0" borderId="0" xfId="0" applyFont="1" applyAlignment="1" applyProtection="1">
      <alignment horizontal="center" vertical="top"/>
      <protection hidden="1"/>
    </xf>
    <xf numFmtId="0" fontId="0" fillId="0" borderId="0" xfId="0"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0" fillId="0" borderId="0" xfId="0" applyAlignment="1" applyProtection="1">
      <alignment horizontal="left" vertical="top"/>
      <protection hidden="1"/>
    </xf>
    <xf numFmtId="0" fontId="14" fillId="0" borderId="24" xfId="0" applyFont="1" applyBorder="1" applyAlignment="1" applyProtection="1">
      <alignment horizontal="center" wrapText="1"/>
      <protection hidden="1"/>
    </xf>
    <xf numFmtId="1" fontId="0" fillId="0" borderId="0" xfId="0" applyNumberFormat="1" applyAlignment="1" applyProtection="1">
      <alignment horizontal="center"/>
      <protection hidden="1"/>
    </xf>
    <xf numFmtId="3" fontId="0" fillId="3" borderId="1" xfId="1" applyNumberFormat="1" applyFont="1" applyFill="1" applyAlignment="1" applyProtection="1">
      <alignment horizontal="center"/>
      <protection locked="0"/>
    </xf>
    <xf numFmtId="0" fontId="17" fillId="0" borderId="0" xfId="0" applyFont="1" applyAlignment="1" applyProtection="1">
      <alignment horizontal="center" vertical="center"/>
      <protection hidden="1"/>
    </xf>
    <xf numFmtId="0" fontId="0" fillId="0" borderId="0" xfId="0" applyAlignment="1">
      <alignment horizontal="center" vertical="center"/>
    </xf>
    <xf numFmtId="0" fontId="13" fillId="0" borderId="0" xfId="0" applyFont="1" applyAlignment="1">
      <alignment horizontal="left" vertical="top" wrapText="1"/>
    </xf>
    <xf numFmtId="0" fontId="13" fillId="0" borderId="3" xfId="0" applyFont="1" applyBorder="1" applyAlignment="1" applyProtection="1">
      <alignment horizontal="left" vertical="top" wrapText="1"/>
      <protection hidden="1"/>
    </xf>
    <xf numFmtId="0" fontId="7" fillId="0" borderId="0" xfId="0" applyFont="1" applyAlignment="1" applyProtection="1">
      <alignment horizontal="center" vertical="top" wrapText="1"/>
      <protection hidden="1"/>
    </xf>
    <xf numFmtId="2" fontId="0" fillId="0" borderId="0" xfId="0" applyNumberFormat="1" applyAlignment="1" applyProtection="1">
      <alignment horizontal="center"/>
      <protection hidden="1"/>
    </xf>
    <xf numFmtId="2" fontId="0" fillId="0" borderId="9" xfId="0" applyNumberFormat="1" applyBorder="1" applyAlignment="1" applyProtection="1">
      <alignment horizontal="center"/>
      <protection hidden="1"/>
    </xf>
    <xf numFmtId="2" fontId="0" fillId="0" borderId="3" xfId="0" applyNumberFormat="1" applyBorder="1" applyAlignment="1" applyProtection="1">
      <alignment horizontal="center"/>
      <protection hidden="1"/>
    </xf>
    <xf numFmtId="0" fontId="2" fillId="0" borderId="0" xfId="0" applyFont="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protection hidden="1"/>
    </xf>
    <xf numFmtId="164" fontId="1" fillId="3" borderId="10" xfId="1" applyNumberFormat="1" applyFont="1" applyFill="1" applyBorder="1" applyAlignment="1" applyProtection="1">
      <alignment horizontal="center" vertical="center"/>
      <protection hidden="1"/>
    </xf>
    <xf numFmtId="164" fontId="1" fillId="3" borderId="11" xfId="1" applyNumberFormat="1" applyFont="1" applyFill="1" applyBorder="1" applyAlignment="1" applyProtection="1">
      <alignment horizontal="center" vertical="center"/>
      <protection hidden="1"/>
    </xf>
    <xf numFmtId="164" fontId="1" fillId="3" borderId="12" xfId="1" applyNumberFormat="1" applyFont="1" applyFill="1" applyBorder="1" applyAlignment="1" applyProtection="1">
      <alignment horizontal="center" vertical="center"/>
      <protection hidden="1"/>
    </xf>
    <xf numFmtId="2" fontId="2"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cellXfs>
  <cellStyles count="3">
    <cellStyle name="Hyperlink" xfId="2" builtinId="8"/>
    <cellStyle name="Normal" xfId="0" builtinId="0"/>
    <cellStyle name="Note" xfId="1" builtinId="10"/>
  </cellStyles>
  <dxfs count="0"/>
  <tableStyles count="0" defaultTableStyle="TableStyleMedium2" defaultPivotStyle="PivotStyleLight16"/>
  <colors>
    <mruColors>
      <color rgb="FFB8E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A18AA110-2A46-49A0-B353-163FE3EE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514350"/>
          <a:ext cx="2047875" cy="1009650"/>
        </a:xfrm>
        <a:prstGeom prst="rect">
          <a:avLst/>
        </a:prstGeom>
      </xdr:spPr>
    </xdr:pic>
    <xdr:clientData/>
  </xdr:twoCellAnchor>
  <xdr:oneCellAnchor>
    <xdr:from>
      <xdr:col>74</xdr:col>
      <xdr:colOff>19049</xdr:colOff>
      <xdr:row>1</xdr:row>
      <xdr:rowOff>73956</xdr:rowOff>
    </xdr:from>
    <xdr:ext cx="1638301" cy="819151"/>
    <xdr:pic>
      <xdr:nvPicPr>
        <xdr:cNvPr id="4" name="Picture 3">
          <a:extLst>
            <a:ext uri="{FF2B5EF4-FFF2-40B4-BE49-F238E27FC236}">
              <a16:creationId xmlns:a16="http://schemas.microsoft.com/office/drawing/2014/main" id="{A185239F-115D-4FC8-9D92-DACD37ED2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5" name="Picture 4">
          <a:extLst>
            <a:ext uri="{FF2B5EF4-FFF2-40B4-BE49-F238E27FC236}">
              <a16:creationId xmlns:a16="http://schemas.microsoft.com/office/drawing/2014/main" id="{03EE92AC-BBFC-4DF4-8B7B-CE6AD6BC21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6" name="Picture 5">
          <a:extLst>
            <a:ext uri="{FF2B5EF4-FFF2-40B4-BE49-F238E27FC236}">
              <a16:creationId xmlns:a16="http://schemas.microsoft.com/office/drawing/2014/main" id="{8D6DB11C-8717-44FD-A39A-6C12093E93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oneCellAnchor>
    <xdr:from>
      <xdr:col>32</xdr:col>
      <xdr:colOff>19049</xdr:colOff>
      <xdr:row>99</xdr:row>
      <xdr:rowOff>73956</xdr:rowOff>
    </xdr:from>
    <xdr:ext cx="1638301" cy="819151"/>
    <xdr:pic>
      <xdr:nvPicPr>
        <xdr:cNvPr id="7" name="Picture 6">
          <a:extLst>
            <a:ext uri="{FF2B5EF4-FFF2-40B4-BE49-F238E27FC236}">
              <a16:creationId xmlns:a16="http://schemas.microsoft.com/office/drawing/2014/main" id="{D2A786E0-BBCB-4283-A73C-6D48E6BB27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05356"/>
          <a:ext cx="1638301" cy="819151"/>
        </a:xfrm>
        <a:prstGeom prst="rect">
          <a:avLst/>
        </a:prstGeom>
      </xdr:spPr>
    </xdr:pic>
    <xdr:clientData/>
  </xdr:oneCellAnchor>
  <xdr:oneCellAnchor>
    <xdr:from>
      <xdr:col>74</xdr:col>
      <xdr:colOff>19049</xdr:colOff>
      <xdr:row>99</xdr:row>
      <xdr:rowOff>73956</xdr:rowOff>
    </xdr:from>
    <xdr:ext cx="1638301" cy="819151"/>
    <xdr:pic>
      <xdr:nvPicPr>
        <xdr:cNvPr id="8" name="Picture 7">
          <a:extLst>
            <a:ext uri="{FF2B5EF4-FFF2-40B4-BE49-F238E27FC236}">
              <a16:creationId xmlns:a16="http://schemas.microsoft.com/office/drawing/2014/main" id="{B047579F-4838-46E8-BC2A-5C9328703C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05356"/>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9" name="Picture 8">
          <a:extLst>
            <a:ext uri="{FF2B5EF4-FFF2-40B4-BE49-F238E27FC236}">
              <a16:creationId xmlns:a16="http://schemas.microsoft.com/office/drawing/2014/main" id="{1A9CBC24-7661-480B-BF20-F203D672A3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06756"/>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10" name="Picture 9">
          <a:extLst>
            <a:ext uri="{FF2B5EF4-FFF2-40B4-BE49-F238E27FC236}">
              <a16:creationId xmlns:a16="http://schemas.microsoft.com/office/drawing/2014/main" id="{853BDE8E-2FC8-4833-9EC0-8CF2117292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06756"/>
          <a:ext cx="1638301" cy="819151"/>
        </a:xfrm>
        <a:prstGeom prst="rect">
          <a:avLst/>
        </a:prstGeom>
      </xdr:spPr>
    </xdr:pic>
    <xdr:clientData/>
  </xdr:oneCellAnchor>
  <xdr:twoCellAnchor>
    <xdr:from>
      <xdr:col>2</xdr:col>
      <xdr:colOff>22412</xdr:colOff>
      <xdr:row>9</xdr:row>
      <xdr:rowOff>201705</xdr:rowOff>
    </xdr:from>
    <xdr:to>
      <xdr:col>41</xdr:col>
      <xdr:colOff>0</xdr:colOff>
      <xdr:row>45</xdr:row>
      <xdr:rowOff>179293</xdr:rowOff>
    </xdr:to>
    <xdr:sp macro="" textlink="">
      <xdr:nvSpPr>
        <xdr:cNvPr id="2" name="TextBox 1">
          <a:extLst>
            <a:ext uri="{FF2B5EF4-FFF2-40B4-BE49-F238E27FC236}">
              <a16:creationId xmlns:a16="http://schemas.microsoft.com/office/drawing/2014/main" id="{981C51C6-0684-3890-A37B-208A1F23364B}"/>
            </a:ext>
          </a:extLst>
        </xdr:cNvPr>
        <xdr:cNvSpPr txBox="1"/>
      </xdr:nvSpPr>
      <xdr:spPr>
        <a:xfrm>
          <a:off x="381000" y="2218764"/>
          <a:ext cx="6970059" cy="80458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Introduction and Purpose</a:t>
          </a:r>
        </a:p>
        <a:p>
          <a:r>
            <a:rPr lang="en-US"/>
            <a:t>The VarStec Capacitor Bank Peak Inrush Analysis Tool is an analysis tool used to evaluate transient switching duties in single-ended substations with multi-stage capacitor banks of up to eight stages. The purpose of the tool is to verify that vacuum and SF6 circuit breakers and capacitor switches are adequately rated to withstand the electrical stresses that occur during capacitor bank energization and de-energization.</a:t>
          </a:r>
          <a:br>
            <a:rPr lang="en-US"/>
          </a:br>
          <a:endParaRPr lang="en-US"/>
        </a:p>
        <a:p>
          <a:r>
            <a:rPr lang="en-US"/>
            <a:t>IEEE standards governing capacitive switching have changed significantly in recent years. Many older calculation tools rely on legacy assumptions related to inrush frequency limits and current-frequency product checks that are no longer valid for modern vacuum and SF6 switching technologies. When applied to current equipment, those legacy methods can produce incorrect or overly conservative results. This tool incorporates the most recent guidance from IEEE C37.04-2018, IEEE C37.09-2018, IEEE C37.012-2022, IEEE C37.66-2021,</a:t>
          </a:r>
          <a:r>
            <a:rPr lang="en-US" baseline="0"/>
            <a:t> and IEEE 1036-2020.</a:t>
          </a:r>
          <a:br>
            <a:rPr lang="en-US"/>
          </a:br>
          <a:endParaRPr lang="en-US"/>
        </a:p>
        <a:p>
          <a:r>
            <a:rPr lang="en-US"/>
            <a:t>The tool is intended only for modern vacuum and SF6 switching devices. Oil-filled switches and breakers are not covered and are not recommended for capacitor switching applications due to their sensitivity to high-frequency transient shock waves and the increased risk of catastrophic failure.</a:t>
          </a:r>
        </a:p>
        <a:p>
          <a:br>
            <a:rPr lang="en-US" sz="1100"/>
          </a:br>
          <a:r>
            <a:rPr lang="en-US" b="1"/>
            <a:t>Analysis Scope and Required Inputs</a:t>
          </a:r>
        </a:p>
        <a:p>
          <a:r>
            <a:rPr lang="en-US"/>
            <a:t>All calculations are performed on the Single Ended Substation worksheet and are designed to support complex capacitor bank configurations with multiple stages. Accurate analysis requires entry of the nominal system voltage, the maximum expected system overvoltage, and the system frequency. Capacitor bank characteristics such as maximum capacitor tolerance and grounding configuration must also be defined.</a:t>
          </a:r>
          <a:br>
            <a:rPr lang="en-US"/>
          </a:br>
          <a:endParaRPr lang="en-US"/>
        </a:p>
        <a:p>
          <a:r>
            <a:rPr lang="en-US"/>
            <a:t>The grounding configuration, whether grounded wye or ungrounded or delta, directly affects recovery voltage levels and the required continuous current capability of the switching device. The short-circuit strength and its associated</a:t>
          </a:r>
          <a:r>
            <a:rPr lang="en-US" baseline="0"/>
            <a:t> X/R ratio</a:t>
          </a:r>
          <a:r>
            <a:rPr lang="en-US"/>
            <a:t> of the system at the capacitor bank bus is used to determine source inductance, which has a strong influence on single-bank inrush current magnitude. Additional inductance values are included to represent feeder connections, inter-stage buswork, optional inrush or outrush reactors, and internal inductance within the capacitor stages. All of these inductance act to reduce the required transient inrush reactors that are common and required in multi-stage capacitor</a:t>
          </a:r>
          <a:r>
            <a:rPr lang="en-US" baseline="0"/>
            <a:t> banks. </a:t>
          </a:r>
          <a:r>
            <a:rPr lang="en-US"/>
            <a:t>A user-defined engineering margin is applied to switching device limits to provide appropriate design conservatism.</a:t>
          </a:r>
          <a:br>
            <a:rPr lang="en-US"/>
          </a:br>
          <a:br>
            <a:rPr lang="en-US"/>
          </a:br>
          <a:r>
            <a:rPr lang="en-US" b="1"/>
            <a:t>Switching Event Modeling</a:t>
          </a:r>
        </a:p>
        <a:p>
          <a:r>
            <a:rPr lang="en-US"/>
            <a:t>The tool evaluates both single-bank switching and back-to-back switching conditions. Single-bank switching occurs when the first capacitor stage is energized. In this case, the inrush current is limited primarily by the system source inductance and the total bank capacitance. The tool calculates the peak inrush current based on the system voltage crest and the surge impedance of the source-to-bank circuit. Although single-bank inrush currents are typically lower in magnitude than back-to-back events, the associated overvoltages can be significant and must be verified against the recovery voltage capability of the switching device.</a:t>
          </a:r>
          <a:br>
            <a:rPr lang="en-US"/>
          </a:br>
          <a:endParaRPr lang="en-US"/>
        </a:p>
        <a:p>
          <a:r>
            <a:rPr lang="en-US"/>
            <a:t>Back-to-back switching occurs when a capacitor stage is energized while one or more adjacent stages are already energized. Under these conditions, a high-frequency discharge occurs from the energized banks into the unenergized bank. The inrush current is limited almost entirely by the loop inductance between capacitor stages, resulting in much higher current magnitudes and higher natural frequencies than those associated with single-bank switching. The tool calculates both the peak inrush current and the natural inrush frequency for these events.</a:t>
          </a:r>
        </a:p>
        <a:p>
          <a:endParaRPr lang="en-US"/>
        </a:p>
        <a:p>
          <a:endParaRPr lang="en-US" sz="1100"/>
        </a:p>
      </xdr:txBody>
    </xdr:sp>
    <xdr:clientData/>
  </xdr:twoCellAnchor>
  <xdr:twoCellAnchor>
    <xdr:from>
      <xdr:col>44</xdr:col>
      <xdr:colOff>0</xdr:colOff>
      <xdr:row>6</xdr:row>
      <xdr:rowOff>0</xdr:rowOff>
    </xdr:from>
    <xdr:to>
      <xdr:col>82</xdr:col>
      <xdr:colOff>22411</xdr:colOff>
      <xdr:row>38</xdr:row>
      <xdr:rowOff>67235</xdr:rowOff>
    </xdr:to>
    <xdr:sp macro="" textlink="">
      <xdr:nvSpPr>
        <xdr:cNvPr id="11" name="TextBox 10">
          <a:extLst>
            <a:ext uri="{FF2B5EF4-FFF2-40B4-BE49-F238E27FC236}">
              <a16:creationId xmlns:a16="http://schemas.microsoft.com/office/drawing/2014/main" id="{5C2175F7-0D24-51EA-EA8A-F93D272932C9}"/>
            </a:ext>
          </a:extLst>
        </xdr:cNvPr>
        <xdr:cNvSpPr txBox="1"/>
      </xdr:nvSpPr>
      <xdr:spPr>
        <a:xfrm>
          <a:off x="7888941" y="1344706"/>
          <a:ext cx="6835588" cy="723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Switching Device Verification Logic</a:t>
          </a:r>
        </a:p>
        <a:p>
          <a:r>
            <a:rPr lang="en-US"/>
            <a:t>The core function of this VarStec tool is to compare calculated transient stresses against the nameplate ratings of the selected switching device and determine pass or fail status in accordance with the most current IEEE standards.</a:t>
          </a:r>
          <a:br>
            <a:rPr lang="en-US"/>
          </a:br>
          <a:endParaRPr lang="en-US"/>
        </a:p>
        <a:p>
          <a:r>
            <a:rPr lang="en-US"/>
            <a:t>The tool first verifies that the device continuous current rating is sufficient for the capacitor bank operating current, including required safety factors. For grounded wye banks, a factor of 1.35 is applied, and for ungrounded or delta banks, a factor of 1.25 is applied. These factors account for system overvoltage, capacitor tolerance, and harmonic current effects as required by IEEE C37.04-2018 and IEEE 1036-2020.</a:t>
          </a:r>
          <a:br>
            <a:rPr lang="en-US"/>
          </a:br>
          <a:endParaRPr lang="en-US"/>
        </a:p>
        <a:p>
          <a:r>
            <a:rPr lang="en-US"/>
            <a:t>The tool then verifies the capacitive switching rating of the device. For circuit breakers, this check is performed against the rated capacitive switching current, which is often lower than the breaker continuous thermal rating. For capacitor switches, the switch continuous current rating is used, as capacitive switching capability is inherent to the device design per IEEE C37.66-2021.</a:t>
          </a:r>
          <a:br>
            <a:rPr lang="en-US"/>
          </a:br>
          <a:endParaRPr lang="en-US"/>
        </a:p>
        <a:p>
          <a:r>
            <a:rPr lang="en-US"/>
            <a:t>The calculated back-to-back peak inrush current, including engineering margin, is then compared to the device rated peak capability. For circuit breakers, this is the rated back-to-back capacitor bank inrush making current, and for capacitor switches, it is the rated transient peak inrush current. A pass condition requires that the calculated peak not exceed the rated value.</a:t>
          </a:r>
        </a:p>
        <a:p>
          <a:br>
            <a:rPr lang="en-US" sz="1100"/>
          </a:br>
          <a:r>
            <a:rPr lang="en-US" b="1"/>
            <a:t>Frequency and (I X F) Product Evaluation</a:t>
          </a:r>
        </a:p>
        <a:p>
          <a:r>
            <a:rPr lang="en-US"/>
            <a:t>The tool applies the modern IEEE approach to inrush frequency and current-frequency product evaluation for vacuum and SF6 devices. For vacuum and SF6 capacitor switches, IEEE C37.66-2021 does not impose an upper frequency limit provided the inrush current magnitude is within the rated value.</a:t>
          </a:r>
          <a:br>
            <a:rPr lang="en-US"/>
          </a:br>
          <a:endParaRPr lang="en-US"/>
        </a:p>
        <a:p>
          <a:r>
            <a:rPr lang="en-US"/>
            <a:t>For vacuum and SF6 circuit breakers, IEEE C37.012-2022 permits the natural inrush frequency to exceed the rated test frequency as long as the current-frequency product does not exceed four times the rated test product with an except for capacitor</a:t>
          </a:r>
          <a:r>
            <a:rPr lang="en-US" baseline="0"/>
            <a:t> banks (stages) having inrush magnitudes of less than 10% of the breaker peak inrush rating</a:t>
          </a:r>
          <a:r>
            <a:rPr lang="en-US"/>
            <a:t>. This approach avoids false failures that commonly occur when older tools apply rigid frequency limits without considering the allowable product relationship.</a:t>
          </a:r>
          <a:br>
            <a:rPr lang="en-US"/>
          </a:br>
          <a:br>
            <a:rPr lang="en-US"/>
          </a:br>
          <a:r>
            <a:rPr lang="en-US" b="1"/>
            <a:t>Breaker Class and Applicability</a:t>
          </a:r>
        </a:p>
        <a:p>
          <a:r>
            <a:rPr lang="en-US"/>
            <a:t>For back-to-back switching applications, the tool also verifies the circuit breaker capacitive switching class. Class C2 breakers are recommended and pass this verification. Class C1 breakers are permitted only if explicitly rated for back-to-back capacitor switching. Class C0 breakers are not permitted for back-to-back applications due to unacceptable restrike risk and are flagged as a failure.</a:t>
          </a:r>
        </a:p>
        <a:p>
          <a:endParaRPr lang="en-US"/>
        </a:p>
        <a:p>
          <a:r>
            <a:rPr lang="en-US" b="1"/>
            <a:t>Summary</a:t>
          </a:r>
        </a:p>
        <a:p>
          <a:r>
            <a:rPr lang="en-US"/>
            <a:t>The VarStec Capacitor Bank Peak Inrush Analysis Tool provides a comprehensive and standards-compliant method for verifying switching device suitability in substation capacitor bank applications. By implementing the latest requirements of IEEE C37.012-2022 and IEEE C37.66-2021, the tool avoids unnecessary conservatism while ensuring that all critical electrical limits for modern vacuum and SF6 interrupters are fully respected.</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A6940489-CC08-420C-B00D-8159191EA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E322BCCE-5CF4-4A83-A0C5-7E0BFEFAD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9E13C7CF-0157-4D67-B163-094F958E47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22FE30AE-A5ED-47BB-8FBD-15D016F8F6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oneCellAnchor>
    <xdr:from>
      <xdr:col>32</xdr:col>
      <xdr:colOff>19049</xdr:colOff>
      <xdr:row>99</xdr:row>
      <xdr:rowOff>73956</xdr:rowOff>
    </xdr:from>
    <xdr:ext cx="1638301" cy="819151"/>
    <xdr:pic>
      <xdr:nvPicPr>
        <xdr:cNvPr id="6" name="Picture 5">
          <a:extLst>
            <a:ext uri="{FF2B5EF4-FFF2-40B4-BE49-F238E27FC236}">
              <a16:creationId xmlns:a16="http://schemas.microsoft.com/office/drawing/2014/main" id="{92335609-E08D-49F4-A450-F26F0C85DF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22705356"/>
          <a:ext cx="1638301" cy="819151"/>
        </a:xfrm>
        <a:prstGeom prst="rect">
          <a:avLst/>
        </a:prstGeom>
      </xdr:spPr>
    </xdr:pic>
    <xdr:clientData/>
  </xdr:oneCellAnchor>
  <xdr:oneCellAnchor>
    <xdr:from>
      <xdr:col>74</xdr:col>
      <xdr:colOff>19049</xdr:colOff>
      <xdr:row>99</xdr:row>
      <xdr:rowOff>73956</xdr:rowOff>
    </xdr:from>
    <xdr:ext cx="1638301" cy="819151"/>
    <xdr:pic>
      <xdr:nvPicPr>
        <xdr:cNvPr id="7" name="Picture 6">
          <a:extLst>
            <a:ext uri="{FF2B5EF4-FFF2-40B4-BE49-F238E27FC236}">
              <a16:creationId xmlns:a16="http://schemas.microsoft.com/office/drawing/2014/main" id="{C106CDD3-00C4-4F47-927D-61AD5CFBB1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22705356"/>
          <a:ext cx="1638301" cy="819151"/>
        </a:xfrm>
        <a:prstGeom prst="rect">
          <a:avLst/>
        </a:prstGeom>
      </xdr:spPr>
    </xdr:pic>
    <xdr:clientData/>
  </xdr:oneCellAnchor>
  <xdr:oneCellAnchor>
    <xdr:from>
      <xdr:col>32</xdr:col>
      <xdr:colOff>19049</xdr:colOff>
      <xdr:row>148</xdr:row>
      <xdr:rowOff>73956</xdr:rowOff>
    </xdr:from>
    <xdr:ext cx="1638301" cy="819151"/>
    <xdr:pic>
      <xdr:nvPicPr>
        <xdr:cNvPr id="8" name="Picture 7">
          <a:extLst>
            <a:ext uri="{FF2B5EF4-FFF2-40B4-BE49-F238E27FC236}">
              <a16:creationId xmlns:a16="http://schemas.microsoft.com/office/drawing/2014/main" id="{8C6EE80C-59A2-45E8-9B6E-347353F314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33906756"/>
          <a:ext cx="1638301" cy="819151"/>
        </a:xfrm>
        <a:prstGeom prst="rect">
          <a:avLst/>
        </a:prstGeom>
      </xdr:spPr>
    </xdr:pic>
    <xdr:clientData/>
  </xdr:oneCellAnchor>
  <xdr:oneCellAnchor>
    <xdr:from>
      <xdr:col>74</xdr:col>
      <xdr:colOff>19049</xdr:colOff>
      <xdr:row>148</xdr:row>
      <xdr:rowOff>73956</xdr:rowOff>
    </xdr:from>
    <xdr:ext cx="1638301" cy="819151"/>
    <xdr:pic>
      <xdr:nvPicPr>
        <xdr:cNvPr id="9" name="Picture 8">
          <a:extLst>
            <a:ext uri="{FF2B5EF4-FFF2-40B4-BE49-F238E27FC236}">
              <a16:creationId xmlns:a16="http://schemas.microsoft.com/office/drawing/2014/main" id="{0622ABF1-7E58-4932-9BE0-0381CB3711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3906756"/>
          <a:ext cx="1638301" cy="819151"/>
        </a:xfrm>
        <a:prstGeom prst="rect">
          <a:avLst/>
        </a:prstGeom>
      </xdr:spPr>
    </xdr:pic>
    <xdr:clientData/>
  </xdr:oneCellAnchor>
  <xdr:twoCellAnchor>
    <xdr:from>
      <xdr:col>167</xdr:col>
      <xdr:colOff>82826</xdr:colOff>
      <xdr:row>7</xdr:row>
      <xdr:rowOff>33131</xdr:rowOff>
    </xdr:from>
    <xdr:to>
      <xdr:col>170</xdr:col>
      <xdr:colOff>74544</xdr:colOff>
      <xdr:row>14</xdr:row>
      <xdr:rowOff>198782</xdr:rowOff>
    </xdr:to>
    <xdr:sp macro="" textlink="">
      <xdr:nvSpPr>
        <xdr:cNvPr id="11" name="Right Brace 10">
          <a:extLst>
            <a:ext uri="{FF2B5EF4-FFF2-40B4-BE49-F238E27FC236}">
              <a16:creationId xmlns:a16="http://schemas.microsoft.com/office/drawing/2014/main" id="{4196798F-12A4-3053-4E8F-B335740AFD38}"/>
            </a:ext>
          </a:extLst>
        </xdr:cNvPr>
        <xdr:cNvSpPr/>
      </xdr:nvSpPr>
      <xdr:spPr>
        <a:xfrm>
          <a:off x="21584478" y="1656522"/>
          <a:ext cx="538370" cy="17890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0</xdr:colOff>
      <xdr:row>15</xdr:row>
      <xdr:rowOff>173935</xdr:rowOff>
    </xdr:from>
    <xdr:to>
      <xdr:col>41</xdr:col>
      <xdr:colOff>82826</xdr:colOff>
      <xdr:row>22</xdr:row>
      <xdr:rowOff>190500</xdr:rowOff>
    </xdr:to>
    <xdr:sp macro="" textlink="">
      <xdr:nvSpPr>
        <xdr:cNvPr id="12" name="TextBox 11">
          <a:extLst>
            <a:ext uri="{FF2B5EF4-FFF2-40B4-BE49-F238E27FC236}">
              <a16:creationId xmlns:a16="http://schemas.microsoft.com/office/drawing/2014/main" id="{24110582-C386-49EB-8B03-6D34895F1FBA}"/>
            </a:ext>
          </a:extLst>
        </xdr:cNvPr>
        <xdr:cNvSpPr txBox="1"/>
      </xdr:nvSpPr>
      <xdr:spPr>
        <a:xfrm>
          <a:off x="364435" y="3652631"/>
          <a:ext cx="7189304" cy="1639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analysis evaluates transient inrush currents associated with the switching of medium-voltage shunt capacitor banks applied in a single-ended substation configuration. Using calculation methods consistent with </a:t>
          </a:r>
          <a:r>
            <a:rPr lang="en-US" b="1"/>
            <a:t>IEEE Standard C37.012-2022</a:t>
          </a:r>
          <a:r>
            <a:rPr lang="en-US"/>
            <a:t>, the tool determines key transient parameters including peak inrush current, transient frequency, and the current–frequency product (I × f) for both isolated and back-to-back capacitor bank switching conditions.</a:t>
          </a:r>
        </a:p>
        <a:p>
          <a:br>
            <a:rPr lang="en-US"/>
          </a:br>
          <a:r>
            <a:rPr lang="en-US"/>
            <a:t>The results are used to verify that the selected switching device is applied within its rated high-frequency capacitive switching limits. In addition, the analysis supports the selection of an appropriate transient limiting inductor (reactor) by allowing iteration of its rating to identify the minimum inductance required to limit switching transients to acceptable levels while maintaining compliance with device ratings.</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12</xdr:col>
      <xdr:colOff>372544</xdr:colOff>
      <xdr:row>40</xdr:row>
      <xdr:rowOff>77262</xdr:rowOff>
    </xdr:to>
    <xdr:pic>
      <xdr:nvPicPr>
        <xdr:cNvPr id="2" name="Picture 1">
          <a:extLst>
            <a:ext uri="{FF2B5EF4-FFF2-40B4-BE49-F238E27FC236}">
              <a16:creationId xmlns:a16="http://schemas.microsoft.com/office/drawing/2014/main" id="{A10E5813-B9F2-9257-1A6F-6F19D05E8DFB}"/>
            </a:ext>
          </a:extLst>
        </xdr:cNvPr>
        <xdr:cNvPicPr>
          <a:picLocks noChangeAspect="1"/>
        </xdr:cNvPicPr>
      </xdr:nvPicPr>
      <xdr:blipFill>
        <a:blip xmlns:r="http://schemas.openxmlformats.org/officeDocument/2006/relationships" r:embed="rId1"/>
        <a:stretch>
          <a:fillRect/>
        </a:stretch>
      </xdr:blipFill>
      <xdr:spPr>
        <a:xfrm>
          <a:off x="28575" y="85725"/>
          <a:ext cx="7659169" cy="76115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17</xdr:col>
      <xdr:colOff>211026</xdr:colOff>
      <xdr:row>35</xdr:row>
      <xdr:rowOff>162866</xdr:rowOff>
    </xdr:to>
    <xdr:pic>
      <xdr:nvPicPr>
        <xdr:cNvPr id="2" name="Picture 1">
          <a:extLst>
            <a:ext uri="{FF2B5EF4-FFF2-40B4-BE49-F238E27FC236}">
              <a16:creationId xmlns:a16="http://schemas.microsoft.com/office/drawing/2014/main" id="{105C4E02-D2DA-BB00-3C66-50E7A60F164F}"/>
            </a:ext>
          </a:extLst>
        </xdr:cNvPr>
        <xdr:cNvPicPr>
          <a:picLocks noChangeAspect="1"/>
        </xdr:cNvPicPr>
      </xdr:nvPicPr>
      <xdr:blipFill>
        <a:blip xmlns:r="http://schemas.openxmlformats.org/officeDocument/2006/relationships" r:embed="rId1"/>
        <a:stretch>
          <a:fillRect/>
        </a:stretch>
      </xdr:blipFill>
      <xdr:spPr>
        <a:xfrm>
          <a:off x="0" y="85725"/>
          <a:ext cx="10574226" cy="6744641"/>
        </a:xfrm>
        <a:prstGeom prst="rect">
          <a:avLst/>
        </a:prstGeom>
      </xdr:spPr>
    </xdr:pic>
    <xdr:clientData/>
  </xdr:twoCellAnchor>
  <xdr:twoCellAnchor editAs="oneCell">
    <xdr:from>
      <xdr:col>17</xdr:col>
      <xdr:colOff>161925</xdr:colOff>
      <xdr:row>0</xdr:row>
      <xdr:rowOff>28575</xdr:rowOff>
    </xdr:from>
    <xdr:to>
      <xdr:col>27</xdr:col>
      <xdr:colOff>143723</xdr:colOff>
      <xdr:row>34</xdr:row>
      <xdr:rowOff>152400</xdr:rowOff>
    </xdr:to>
    <xdr:pic>
      <xdr:nvPicPr>
        <xdr:cNvPr id="3" name="Picture 2">
          <a:extLst>
            <a:ext uri="{FF2B5EF4-FFF2-40B4-BE49-F238E27FC236}">
              <a16:creationId xmlns:a16="http://schemas.microsoft.com/office/drawing/2014/main" id="{318852F2-BB63-DC81-FE3C-D2BEE1A3FAB3}"/>
            </a:ext>
          </a:extLst>
        </xdr:cNvPr>
        <xdr:cNvPicPr>
          <a:picLocks noChangeAspect="1"/>
        </xdr:cNvPicPr>
      </xdr:nvPicPr>
      <xdr:blipFill rotWithShape="1">
        <a:blip xmlns:r="http://schemas.openxmlformats.org/officeDocument/2006/relationships" r:embed="rId2"/>
        <a:srcRect b="10708"/>
        <a:stretch>
          <a:fillRect/>
        </a:stretch>
      </xdr:blipFill>
      <xdr:spPr>
        <a:xfrm>
          <a:off x="10525125" y="28575"/>
          <a:ext cx="6077798" cy="6600825"/>
        </a:xfrm>
        <a:prstGeom prst="rect">
          <a:avLst/>
        </a:prstGeom>
      </xdr:spPr>
    </xdr:pic>
    <xdr:clientData/>
  </xdr:twoCellAnchor>
  <xdr:twoCellAnchor>
    <xdr:from>
      <xdr:col>13</xdr:col>
      <xdr:colOff>19050</xdr:colOff>
      <xdr:row>0</xdr:row>
      <xdr:rowOff>0</xdr:rowOff>
    </xdr:from>
    <xdr:to>
      <xdr:col>17</xdr:col>
      <xdr:colOff>466724</xdr:colOff>
      <xdr:row>6</xdr:row>
      <xdr:rowOff>180975</xdr:rowOff>
    </xdr:to>
    <xdr:sp macro="" textlink="">
      <xdr:nvSpPr>
        <xdr:cNvPr id="5" name="TextBox 4">
          <a:extLst>
            <a:ext uri="{FF2B5EF4-FFF2-40B4-BE49-F238E27FC236}">
              <a16:creationId xmlns:a16="http://schemas.microsoft.com/office/drawing/2014/main" id="{CDFDF5C2-C95A-44DB-97E9-199DFF26FBE8}"/>
            </a:ext>
          </a:extLst>
        </xdr:cNvPr>
        <xdr:cNvSpPr txBox="1"/>
      </xdr:nvSpPr>
      <xdr:spPr>
        <a:xfrm>
          <a:off x="7943850" y="0"/>
          <a:ext cx="2886074" cy="1323975"/>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editAs="oneCell">
    <xdr:from>
      <xdr:col>0</xdr:col>
      <xdr:colOff>0</xdr:colOff>
      <xdr:row>37</xdr:row>
      <xdr:rowOff>0</xdr:rowOff>
    </xdr:from>
    <xdr:to>
      <xdr:col>10</xdr:col>
      <xdr:colOff>191377</xdr:colOff>
      <xdr:row>70</xdr:row>
      <xdr:rowOff>134246</xdr:rowOff>
    </xdr:to>
    <xdr:pic>
      <xdr:nvPicPr>
        <xdr:cNvPr id="6" name="Picture 5">
          <a:extLst>
            <a:ext uri="{FF2B5EF4-FFF2-40B4-BE49-F238E27FC236}">
              <a16:creationId xmlns:a16="http://schemas.microsoft.com/office/drawing/2014/main" id="{7974872F-EF55-AAB9-F119-4A13F3848623}"/>
            </a:ext>
          </a:extLst>
        </xdr:cNvPr>
        <xdr:cNvPicPr>
          <a:picLocks noChangeAspect="1"/>
        </xdr:cNvPicPr>
      </xdr:nvPicPr>
      <xdr:blipFill>
        <a:blip xmlns:r="http://schemas.openxmlformats.org/officeDocument/2006/relationships" r:embed="rId3"/>
        <a:stretch>
          <a:fillRect/>
        </a:stretch>
      </xdr:blipFill>
      <xdr:spPr>
        <a:xfrm>
          <a:off x="0" y="7048500"/>
          <a:ext cx="6287377" cy="6420746"/>
        </a:xfrm>
        <a:prstGeom prst="rect">
          <a:avLst/>
        </a:prstGeom>
      </xdr:spPr>
    </xdr:pic>
    <xdr:clientData/>
  </xdr:twoCellAnchor>
  <xdr:twoCellAnchor editAs="oneCell">
    <xdr:from>
      <xdr:col>10</xdr:col>
      <xdr:colOff>238125</xdr:colOff>
      <xdr:row>36</xdr:row>
      <xdr:rowOff>180975</xdr:rowOff>
    </xdr:from>
    <xdr:to>
      <xdr:col>24</xdr:col>
      <xdr:colOff>258369</xdr:colOff>
      <xdr:row>58</xdr:row>
      <xdr:rowOff>133928</xdr:rowOff>
    </xdr:to>
    <xdr:pic>
      <xdr:nvPicPr>
        <xdr:cNvPr id="7" name="Picture 6">
          <a:extLst>
            <a:ext uri="{FF2B5EF4-FFF2-40B4-BE49-F238E27FC236}">
              <a16:creationId xmlns:a16="http://schemas.microsoft.com/office/drawing/2014/main" id="{C55E9583-997F-C911-DD62-A92B441B52CC}"/>
            </a:ext>
          </a:extLst>
        </xdr:cNvPr>
        <xdr:cNvPicPr>
          <a:picLocks noChangeAspect="1"/>
        </xdr:cNvPicPr>
      </xdr:nvPicPr>
      <xdr:blipFill>
        <a:blip xmlns:r="http://schemas.openxmlformats.org/officeDocument/2006/relationships" r:embed="rId4"/>
        <a:stretch>
          <a:fillRect/>
        </a:stretch>
      </xdr:blipFill>
      <xdr:spPr>
        <a:xfrm>
          <a:off x="6334125" y="7038975"/>
          <a:ext cx="8554644" cy="4143953"/>
        </a:xfrm>
        <a:prstGeom prst="rect">
          <a:avLst/>
        </a:prstGeom>
      </xdr:spPr>
    </xdr:pic>
    <xdr:clientData/>
  </xdr:twoCellAnchor>
  <xdr:twoCellAnchor editAs="oneCell">
    <xdr:from>
      <xdr:col>10</xdr:col>
      <xdr:colOff>238125</xdr:colOff>
      <xdr:row>58</xdr:row>
      <xdr:rowOff>161925</xdr:rowOff>
    </xdr:from>
    <xdr:to>
      <xdr:col>24</xdr:col>
      <xdr:colOff>315527</xdr:colOff>
      <xdr:row>88</xdr:row>
      <xdr:rowOff>76986</xdr:rowOff>
    </xdr:to>
    <xdr:pic>
      <xdr:nvPicPr>
        <xdr:cNvPr id="8" name="Picture 7">
          <a:extLst>
            <a:ext uri="{FF2B5EF4-FFF2-40B4-BE49-F238E27FC236}">
              <a16:creationId xmlns:a16="http://schemas.microsoft.com/office/drawing/2014/main" id="{CAD5DA26-90DD-CA58-BB41-2C49D8CAC9FC}"/>
            </a:ext>
          </a:extLst>
        </xdr:cNvPr>
        <xdr:cNvPicPr>
          <a:picLocks noChangeAspect="1"/>
        </xdr:cNvPicPr>
      </xdr:nvPicPr>
      <xdr:blipFill>
        <a:blip xmlns:r="http://schemas.openxmlformats.org/officeDocument/2006/relationships" r:embed="rId5"/>
        <a:stretch>
          <a:fillRect/>
        </a:stretch>
      </xdr:blipFill>
      <xdr:spPr>
        <a:xfrm>
          <a:off x="6334125" y="11210925"/>
          <a:ext cx="8611802" cy="5630061"/>
        </a:xfrm>
        <a:prstGeom prst="rect">
          <a:avLst/>
        </a:prstGeom>
      </xdr:spPr>
    </xdr:pic>
    <xdr:clientData/>
  </xdr:twoCellAnchor>
  <xdr:twoCellAnchor editAs="oneCell">
    <xdr:from>
      <xdr:col>0</xdr:col>
      <xdr:colOff>209550</xdr:colOff>
      <xdr:row>70</xdr:row>
      <xdr:rowOff>161925</xdr:rowOff>
    </xdr:from>
    <xdr:to>
      <xdr:col>10</xdr:col>
      <xdr:colOff>134190</xdr:colOff>
      <xdr:row>93</xdr:row>
      <xdr:rowOff>143484</xdr:rowOff>
    </xdr:to>
    <xdr:pic>
      <xdr:nvPicPr>
        <xdr:cNvPr id="9" name="Picture 8">
          <a:extLst>
            <a:ext uri="{FF2B5EF4-FFF2-40B4-BE49-F238E27FC236}">
              <a16:creationId xmlns:a16="http://schemas.microsoft.com/office/drawing/2014/main" id="{31AC1F24-C4D7-E6F9-F85D-466251819846}"/>
            </a:ext>
          </a:extLst>
        </xdr:cNvPr>
        <xdr:cNvPicPr>
          <a:picLocks noChangeAspect="1"/>
        </xdr:cNvPicPr>
      </xdr:nvPicPr>
      <xdr:blipFill>
        <a:blip xmlns:r="http://schemas.openxmlformats.org/officeDocument/2006/relationships" r:embed="rId6"/>
        <a:stretch>
          <a:fillRect/>
        </a:stretch>
      </xdr:blipFill>
      <xdr:spPr>
        <a:xfrm>
          <a:off x="209550" y="13496925"/>
          <a:ext cx="6020640" cy="4363059"/>
        </a:xfrm>
        <a:prstGeom prst="rect">
          <a:avLst/>
        </a:prstGeom>
      </xdr:spPr>
    </xdr:pic>
    <xdr:clientData/>
  </xdr:twoCellAnchor>
  <xdr:twoCellAnchor>
    <xdr:from>
      <xdr:col>0</xdr:col>
      <xdr:colOff>257175</xdr:colOff>
      <xdr:row>1</xdr:row>
      <xdr:rowOff>123825</xdr:rowOff>
    </xdr:from>
    <xdr:to>
      <xdr:col>4</xdr:col>
      <xdr:colOff>257175</xdr:colOff>
      <xdr:row>4</xdr:row>
      <xdr:rowOff>66675</xdr:rowOff>
    </xdr:to>
    <xdr:sp macro="" textlink="">
      <xdr:nvSpPr>
        <xdr:cNvPr id="10" name="TextBox 9">
          <a:extLst>
            <a:ext uri="{FF2B5EF4-FFF2-40B4-BE49-F238E27FC236}">
              <a16:creationId xmlns:a16="http://schemas.microsoft.com/office/drawing/2014/main" id="{26A7A5C0-1D6C-65D3-11C9-A8D33A2F5176}"/>
            </a:ext>
          </a:extLst>
        </xdr:cNvPr>
        <xdr:cNvSpPr txBox="1"/>
      </xdr:nvSpPr>
      <xdr:spPr>
        <a:xfrm>
          <a:off x="257175" y="314325"/>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indoor breakers</a:t>
          </a:r>
          <a:endParaRPr lang="en-US"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16</xdr:col>
      <xdr:colOff>453860</xdr:colOff>
      <xdr:row>35</xdr:row>
      <xdr:rowOff>9525</xdr:rowOff>
    </xdr:to>
    <xdr:pic>
      <xdr:nvPicPr>
        <xdr:cNvPr id="2" name="Picture 1">
          <a:extLst>
            <a:ext uri="{FF2B5EF4-FFF2-40B4-BE49-F238E27FC236}">
              <a16:creationId xmlns:a16="http://schemas.microsoft.com/office/drawing/2014/main" id="{A0C649E4-677E-FA56-A71F-CB27518293DE}"/>
            </a:ext>
          </a:extLst>
        </xdr:cNvPr>
        <xdr:cNvPicPr>
          <a:picLocks noChangeAspect="1"/>
        </xdr:cNvPicPr>
      </xdr:nvPicPr>
      <xdr:blipFill>
        <a:blip xmlns:r="http://schemas.openxmlformats.org/officeDocument/2006/relationships" r:embed="rId1"/>
        <a:stretch>
          <a:fillRect/>
        </a:stretch>
      </xdr:blipFill>
      <xdr:spPr>
        <a:xfrm>
          <a:off x="0" y="9525"/>
          <a:ext cx="10207460" cy="6667500"/>
        </a:xfrm>
        <a:prstGeom prst="rect">
          <a:avLst/>
        </a:prstGeom>
      </xdr:spPr>
    </xdr:pic>
    <xdr:clientData/>
  </xdr:twoCellAnchor>
  <xdr:twoCellAnchor editAs="oneCell">
    <xdr:from>
      <xdr:col>16</xdr:col>
      <xdr:colOff>238125</xdr:colOff>
      <xdr:row>0</xdr:row>
      <xdr:rowOff>66675</xdr:rowOff>
    </xdr:from>
    <xdr:to>
      <xdr:col>26</xdr:col>
      <xdr:colOff>48449</xdr:colOff>
      <xdr:row>37</xdr:row>
      <xdr:rowOff>115290</xdr:rowOff>
    </xdr:to>
    <xdr:pic>
      <xdr:nvPicPr>
        <xdr:cNvPr id="3" name="Picture 2">
          <a:extLst>
            <a:ext uri="{FF2B5EF4-FFF2-40B4-BE49-F238E27FC236}">
              <a16:creationId xmlns:a16="http://schemas.microsoft.com/office/drawing/2014/main" id="{AF86687B-EF50-57C7-1451-85E8350F08FC}"/>
            </a:ext>
          </a:extLst>
        </xdr:cNvPr>
        <xdr:cNvPicPr>
          <a:picLocks noChangeAspect="1"/>
        </xdr:cNvPicPr>
      </xdr:nvPicPr>
      <xdr:blipFill>
        <a:blip xmlns:r="http://schemas.openxmlformats.org/officeDocument/2006/relationships" r:embed="rId2"/>
        <a:stretch>
          <a:fillRect/>
        </a:stretch>
      </xdr:blipFill>
      <xdr:spPr>
        <a:xfrm>
          <a:off x="9991725" y="66675"/>
          <a:ext cx="5906324" cy="7097115"/>
        </a:xfrm>
        <a:prstGeom prst="rect">
          <a:avLst/>
        </a:prstGeom>
      </xdr:spPr>
    </xdr:pic>
    <xdr:clientData/>
  </xdr:twoCellAnchor>
  <xdr:twoCellAnchor>
    <xdr:from>
      <xdr:col>11</xdr:col>
      <xdr:colOff>561976</xdr:colOff>
      <xdr:row>0</xdr:row>
      <xdr:rowOff>85725</xdr:rowOff>
    </xdr:from>
    <xdr:to>
      <xdr:col>16</xdr:col>
      <xdr:colOff>400050</xdr:colOff>
      <xdr:row>7</xdr:row>
      <xdr:rowOff>161925</xdr:rowOff>
    </xdr:to>
    <xdr:sp macro="" textlink="">
      <xdr:nvSpPr>
        <xdr:cNvPr id="5" name="TextBox 4">
          <a:extLst>
            <a:ext uri="{FF2B5EF4-FFF2-40B4-BE49-F238E27FC236}">
              <a16:creationId xmlns:a16="http://schemas.microsoft.com/office/drawing/2014/main" id="{56A6A67E-9D76-4244-B482-03B71DB1F034}"/>
            </a:ext>
          </a:extLst>
        </xdr:cNvPr>
        <xdr:cNvSpPr txBox="1"/>
      </xdr:nvSpPr>
      <xdr:spPr>
        <a:xfrm>
          <a:off x="7267576" y="85725"/>
          <a:ext cx="2886074" cy="1409700"/>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xdr:from>
      <xdr:col>0</xdr:col>
      <xdr:colOff>104775</xdr:colOff>
      <xdr:row>1</xdr:row>
      <xdr:rowOff>19050</xdr:rowOff>
    </xdr:from>
    <xdr:to>
      <xdr:col>4</xdr:col>
      <xdr:colOff>104775</xdr:colOff>
      <xdr:row>3</xdr:row>
      <xdr:rowOff>152400</xdr:rowOff>
    </xdr:to>
    <xdr:sp macro="" textlink="">
      <xdr:nvSpPr>
        <xdr:cNvPr id="6" name="TextBox 5">
          <a:extLst>
            <a:ext uri="{FF2B5EF4-FFF2-40B4-BE49-F238E27FC236}">
              <a16:creationId xmlns:a16="http://schemas.microsoft.com/office/drawing/2014/main" id="{B72B3ED7-A64F-4ED0-BCFB-843283E05A73}"/>
            </a:ext>
          </a:extLst>
        </xdr:cNvPr>
        <xdr:cNvSpPr txBox="1"/>
      </xdr:nvSpPr>
      <xdr:spPr>
        <a:xfrm>
          <a:off x="104775" y="209550"/>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outdoor breakers</a:t>
          </a:r>
          <a:endParaRPr lang="en-US" sz="1100">
            <a:solidFill>
              <a:srgbClr val="FF0000"/>
            </a:solidFill>
          </a:endParaRPr>
        </a:p>
      </xdr:txBody>
    </xdr:sp>
    <xdr:clientData/>
  </xdr:twoCellAnchor>
  <xdr:twoCellAnchor editAs="oneCell">
    <xdr:from>
      <xdr:col>0</xdr:col>
      <xdr:colOff>0</xdr:colOff>
      <xdr:row>36</xdr:row>
      <xdr:rowOff>0</xdr:rowOff>
    </xdr:from>
    <xdr:to>
      <xdr:col>10</xdr:col>
      <xdr:colOff>86588</xdr:colOff>
      <xdr:row>64</xdr:row>
      <xdr:rowOff>19797</xdr:rowOff>
    </xdr:to>
    <xdr:pic>
      <xdr:nvPicPr>
        <xdr:cNvPr id="7" name="Picture 6">
          <a:extLst>
            <a:ext uri="{FF2B5EF4-FFF2-40B4-BE49-F238E27FC236}">
              <a16:creationId xmlns:a16="http://schemas.microsoft.com/office/drawing/2014/main" id="{D04FB485-4F8B-D10B-CD53-F84A4EAA4D44}"/>
            </a:ext>
          </a:extLst>
        </xdr:cNvPr>
        <xdr:cNvPicPr>
          <a:picLocks noChangeAspect="1"/>
        </xdr:cNvPicPr>
      </xdr:nvPicPr>
      <xdr:blipFill>
        <a:blip xmlns:r="http://schemas.openxmlformats.org/officeDocument/2006/relationships" r:embed="rId3"/>
        <a:stretch>
          <a:fillRect/>
        </a:stretch>
      </xdr:blipFill>
      <xdr:spPr>
        <a:xfrm>
          <a:off x="0" y="6858000"/>
          <a:ext cx="6182588" cy="5353797"/>
        </a:xfrm>
        <a:prstGeom prst="rect">
          <a:avLst/>
        </a:prstGeom>
      </xdr:spPr>
    </xdr:pic>
    <xdr:clientData/>
  </xdr:twoCellAnchor>
  <xdr:twoCellAnchor editAs="oneCell">
    <xdr:from>
      <xdr:col>10</xdr:col>
      <xdr:colOff>9525</xdr:colOff>
      <xdr:row>39</xdr:row>
      <xdr:rowOff>152400</xdr:rowOff>
    </xdr:from>
    <xdr:to>
      <xdr:col>19</xdr:col>
      <xdr:colOff>210344</xdr:colOff>
      <xdr:row>56</xdr:row>
      <xdr:rowOff>152852</xdr:rowOff>
    </xdr:to>
    <xdr:pic>
      <xdr:nvPicPr>
        <xdr:cNvPr id="8" name="Picture 7">
          <a:extLst>
            <a:ext uri="{FF2B5EF4-FFF2-40B4-BE49-F238E27FC236}">
              <a16:creationId xmlns:a16="http://schemas.microsoft.com/office/drawing/2014/main" id="{488BB9A6-F247-CCE1-24D9-12DB3912982D}"/>
            </a:ext>
          </a:extLst>
        </xdr:cNvPr>
        <xdr:cNvPicPr>
          <a:picLocks noChangeAspect="1"/>
        </xdr:cNvPicPr>
      </xdr:nvPicPr>
      <xdr:blipFill>
        <a:blip xmlns:r="http://schemas.openxmlformats.org/officeDocument/2006/relationships" r:embed="rId4"/>
        <a:stretch>
          <a:fillRect/>
        </a:stretch>
      </xdr:blipFill>
      <xdr:spPr>
        <a:xfrm>
          <a:off x="6105525" y="7581900"/>
          <a:ext cx="5687219" cy="3238952"/>
        </a:xfrm>
        <a:prstGeom prst="rect">
          <a:avLst/>
        </a:prstGeom>
      </xdr:spPr>
    </xdr:pic>
    <xdr:clientData/>
  </xdr:twoCellAnchor>
  <xdr:twoCellAnchor editAs="oneCell">
    <xdr:from>
      <xdr:col>0</xdr:col>
      <xdr:colOff>0</xdr:colOff>
      <xdr:row>65</xdr:row>
      <xdr:rowOff>0</xdr:rowOff>
    </xdr:from>
    <xdr:to>
      <xdr:col>14</xdr:col>
      <xdr:colOff>286981</xdr:colOff>
      <xdr:row>88</xdr:row>
      <xdr:rowOff>86349</xdr:rowOff>
    </xdr:to>
    <xdr:pic>
      <xdr:nvPicPr>
        <xdr:cNvPr id="9" name="Picture 8">
          <a:extLst>
            <a:ext uri="{FF2B5EF4-FFF2-40B4-BE49-F238E27FC236}">
              <a16:creationId xmlns:a16="http://schemas.microsoft.com/office/drawing/2014/main" id="{A458F2D3-6113-29F2-113B-814EBB8E025D}"/>
            </a:ext>
          </a:extLst>
        </xdr:cNvPr>
        <xdr:cNvPicPr>
          <a:picLocks noChangeAspect="1"/>
        </xdr:cNvPicPr>
      </xdr:nvPicPr>
      <xdr:blipFill>
        <a:blip xmlns:r="http://schemas.openxmlformats.org/officeDocument/2006/relationships" r:embed="rId5"/>
        <a:stretch>
          <a:fillRect/>
        </a:stretch>
      </xdr:blipFill>
      <xdr:spPr>
        <a:xfrm>
          <a:off x="0" y="12382500"/>
          <a:ext cx="8821381" cy="4467849"/>
        </a:xfrm>
        <a:prstGeom prst="rect">
          <a:avLst/>
        </a:prstGeom>
      </xdr:spPr>
    </xdr:pic>
    <xdr:clientData/>
  </xdr:twoCellAnchor>
  <xdr:twoCellAnchor editAs="oneCell">
    <xdr:from>
      <xdr:col>0</xdr:col>
      <xdr:colOff>9525</xdr:colOff>
      <xdr:row>89</xdr:row>
      <xdr:rowOff>9525</xdr:rowOff>
    </xdr:from>
    <xdr:to>
      <xdr:col>14</xdr:col>
      <xdr:colOff>239348</xdr:colOff>
      <xdr:row>115</xdr:row>
      <xdr:rowOff>690</xdr:rowOff>
    </xdr:to>
    <xdr:pic>
      <xdr:nvPicPr>
        <xdr:cNvPr id="10" name="Picture 9">
          <a:extLst>
            <a:ext uri="{FF2B5EF4-FFF2-40B4-BE49-F238E27FC236}">
              <a16:creationId xmlns:a16="http://schemas.microsoft.com/office/drawing/2014/main" id="{715351CA-E91D-EF41-69D0-7332BE51147F}"/>
            </a:ext>
          </a:extLst>
        </xdr:cNvPr>
        <xdr:cNvPicPr>
          <a:picLocks noChangeAspect="1"/>
        </xdr:cNvPicPr>
      </xdr:nvPicPr>
      <xdr:blipFill>
        <a:blip xmlns:r="http://schemas.openxmlformats.org/officeDocument/2006/relationships" r:embed="rId6"/>
        <a:stretch>
          <a:fillRect/>
        </a:stretch>
      </xdr:blipFill>
      <xdr:spPr>
        <a:xfrm>
          <a:off x="9525" y="16964025"/>
          <a:ext cx="8764223" cy="4944165"/>
        </a:xfrm>
        <a:prstGeom prst="rect">
          <a:avLst/>
        </a:prstGeom>
      </xdr:spPr>
    </xdr:pic>
    <xdr:clientData/>
  </xdr:twoCellAnchor>
  <xdr:twoCellAnchor editAs="oneCell">
    <xdr:from>
      <xdr:col>14</xdr:col>
      <xdr:colOff>342900</xdr:colOff>
      <xdr:row>65</xdr:row>
      <xdr:rowOff>142875</xdr:rowOff>
    </xdr:from>
    <xdr:to>
      <xdr:col>24</xdr:col>
      <xdr:colOff>353277</xdr:colOff>
      <xdr:row>87</xdr:row>
      <xdr:rowOff>29144</xdr:rowOff>
    </xdr:to>
    <xdr:pic>
      <xdr:nvPicPr>
        <xdr:cNvPr id="11" name="Picture 10">
          <a:extLst>
            <a:ext uri="{FF2B5EF4-FFF2-40B4-BE49-F238E27FC236}">
              <a16:creationId xmlns:a16="http://schemas.microsoft.com/office/drawing/2014/main" id="{DCA06902-FFD8-1380-2C44-61AD6B9805E8}"/>
            </a:ext>
          </a:extLst>
        </xdr:cNvPr>
        <xdr:cNvPicPr>
          <a:picLocks noChangeAspect="1"/>
        </xdr:cNvPicPr>
      </xdr:nvPicPr>
      <xdr:blipFill>
        <a:blip xmlns:r="http://schemas.openxmlformats.org/officeDocument/2006/relationships" r:embed="rId7"/>
        <a:stretch>
          <a:fillRect/>
        </a:stretch>
      </xdr:blipFill>
      <xdr:spPr>
        <a:xfrm>
          <a:off x="8877300" y="12525375"/>
          <a:ext cx="6106377" cy="407726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180975</xdr:colOff>
      <xdr:row>0</xdr:row>
      <xdr:rowOff>171450</xdr:rowOff>
    </xdr:from>
    <xdr:to>
      <xdr:col>23</xdr:col>
      <xdr:colOff>153332</xdr:colOff>
      <xdr:row>6</xdr:row>
      <xdr:rowOff>9662</xdr:rowOff>
    </xdr:to>
    <xdr:pic>
      <xdr:nvPicPr>
        <xdr:cNvPr id="2" name="Picture 1">
          <a:extLst>
            <a:ext uri="{FF2B5EF4-FFF2-40B4-BE49-F238E27FC236}">
              <a16:creationId xmlns:a16="http://schemas.microsoft.com/office/drawing/2014/main" id="{F21375E0-EFB5-CBCA-C2C6-2F3486402F3A}"/>
            </a:ext>
          </a:extLst>
        </xdr:cNvPr>
        <xdr:cNvPicPr>
          <a:picLocks noChangeAspect="1"/>
        </xdr:cNvPicPr>
      </xdr:nvPicPr>
      <xdr:blipFill>
        <a:blip xmlns:r="http://schemas.openxmlformats.org/officeDocument/2006/relationships" r:embed="rId1"/>
        <a:stretch>
          <a:fillRect/>
        </a:stretch>
      </xdr:blipFill>
      <xdr:spPr>
        <a:xfrm>
          <a:off x="7496175" y="171450"/>
          <a:ext cx="6677957" cy="981212"/>
        </a:xfrm>
        <a:prstGeom prst="rect">
          <a:avLst/>
        </a:prstGeom>
      </xdr:spPr>
    </xdr:pic>
    <xdr:clientData/>
  </xdr:twoCellAnchor>
  <xdr:twoCellAnchor editAs="oneCell">
    <xdr:from>
      <xdr:col>0</xdr:col>
      <xdr:colOff>28575</xdr:colOff>
      <xdr:row>0</xdr:row>
      <xdr:rowOff>133350</xdr:rowOff>
    </xdr:from>
    <xdr:to>
      <xdr:col>12</xdr:col>
      <xdr:colOff>126694</xdr:colOff>
      <xdr:row>32</xdr:row>
      <xdr:rowOff>20028</xdr:rowOff>
    </xdr:to>
    <xdr:pic>
      <xdr:nvPicPr>
        <xdr:cNvPr id="3" name="Picture 2">
          <a:extLst>
            <a:ext uri="{FF2B5EF4-FFF2-40B4-BE49-F238E27FC236}">
              <a16:creationId xmlns:a16="http://schemas.microsoft.com/office/drawing/2014/main" id="{577D8111-CE3D-C8D4-6C92-C4FE78DF8706}"/>
            </a:ext>
          </a:extLst>
        </xdr:cNvPr>
        <xdr:cNvPicPr>
          <a:picLocks noChangeAspect="1"/>
        </xdr:cNvPicPr>
      </xdr:nvPicPr>
      <xdr:blipFill>
        <a:blip xmlns:r="http://schemas.openxmlformats.org/officeDocument/2006/relationships" r:embed="rId2"/>
        <a:stretch>
          <a:fillRect/>
        </a:stretch>
      </xdr:blipFill>
      <xdr:spPr>
        <a:xfrm>
          <a:off x="28575" y="133350"/>
          <a:ext cx="7413319" cy="5982678"/>
        </a:xfrm>
        <a:prstGeom prst="rect">
          <a:avLst/>
        </a:prstGeom>
      </xdr:spPr>
    </xdr:pic>
    <xdr:clientData/>
  </xdr:twoCellAnchor>
  <xdr:twoCellAnchor editAs="oneCell">
    <xdr:from>
      <xdr:col>0</xdr:col>
      <xdr:colOff>1</xdr:colOff>
      <xdr:row>32</xdr:row>
      <xdr:rowOff>152399</xdr:rowOff>
    </xdr:from>
    <xdr:to>
      <xdr:col>12</xdr:col>
      <xdr:colOff>54000</xdr:colOff>
      <xdr:row>83</xdr:row>
      <xdr:rowOff>77260</xdr:rowOff>
    </xdr:to>
    <xdr:pic>
      <xdr:nvPicPr>
        <xdr:cNvPr id="4" name="Picture 3">
          <a:extLst>
            <a:ext uri="{FF2B5EF4-FFF2-40B4-BE49-F238E27FC236}">
              <a16:creationId xmlns:a16="http://schemas.microsoft.com/office/drawing/2014/main" id="{FFC12CB4-9775-53A4-FA5D-AF1B9EB0C5D6}"/>
            </a:ext>
          </a:extLst>
        </xdr:cNvPr>
        <xdr:cNvPicPr>
          <a:picLocks noChangeAspect="1"/>
        </xdr:cNvPicPr>
      </xdr:nvPicPr>
      <xdr:blipFill>
        <a:blip xmlns:r="http://schemas.openxmlformats.org/officeDocument/2006/relationships" r:embed="rId3"/>
        <a:stretch>
          <a:fillRect/>
        </a:stretch>
      </xdr:blipFill>
      <xdr:spPr>
        <a:xfrm>
          <a:off x="1" y="6248399"/>
          <a:ext cx="7369199" cy="96403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B6AF-7BB8-4F64-9CB4-2D7658D5D6BE}">
  <sheetPr>
    <pageSetUpPr fitToPage="1"/>
  </sheetPr>
  <dimension ref="B1:IO305"/>
  <sheetViews>
    <sheetView zoomScale="115" zoomScaleNormal="115" workbookViewId="0">
      <selection activeCell="Q3" sqref="Q3"/>
    </sheetView>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81</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142" t="s">
        <v>141</v>
      </c>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68"/>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69"/>
      <c r="D29" s="69"/>
      <c r="E29" s="69"/>
      <c r="F29" s="69"/>
      <c r="G29" s="69"/>
      <c r="H29" s="69"/>
      <c r="I29" s="69"/>
      <c r="J29" s="69"/>
      <c r="K29" s="69"/>
      <c r="L29" s="69"/>
      <c r="M29" s="69"/>
      <c r="N29" s="69"/>
      <c r="O29" s="69"/>
      <c r="P29" s="69"/>
      <c r="Q29" s="69"/>
      <c r="R29" s="69"/>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70"/>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71"/>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row>
    <row r="36" spans="2:249" ht="18" customHeight="1" x14ac:dyDescent="0.25">
      <c r="B36" s="7"/>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149"/>
      <c r="HT36" s="150"/>
      <c r="HU36" s="151"/>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79"/>
      <c r="HP37" s="79"/>
      <c r="HQ37" s="79"/>
      <c r="HR37" s="16"/>
      <c r="HS37" s="16"/>
      <c r="HT37" s="16"/>
      <c r="HU37" s="16"/>
      <c r="HV37" s="16"/>
      <c r="HW37" s="16"/>
      <c r="HX37" s="16"/>
      <c r="HY37" s="16"/>
      <c r="HZ37" s="16"/>
      <c r="IA37" s="16"/>
      <c r="IB37" s="16"/>
      <c r="IC37" s="16"/>
      <c r="ID37" s="16"/>
      <c r="IE37" s="16"/>
      <c r="IF37" s="16"/>
      <c r="IG37" s="16"/>
      <c r="IH37" s="16"/>
      <c r="II37" s="18"/>
      <c r="IJ37" s="143"/>
      <c r="IK37" s="143"/>
      <c r="IL37" s="143"/>
      <c r="IM37" s="16"/>
      <c r="IN37" s="16"/>
      <c r="IO37" s="16"/>
    </row>
    <row r="38" spans="2:249" ht="18" customHeight="1" x14ac:dyDescent="0.25">
      <c r="B38" s="7"/>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143"/>
      <c r="HP38" s="143"/>
      <c r="HQ38" s="143"/>
      <c r="HR38" s="16"/>
      <c r="HS38" s="16"/>
      <c r="HT38" s="16"/>
      <c r="HU38" s="16"/>
      <c r="HV38" s="16"/>
      <c r="HW38" s="16"/>
      <c r="HX38" s="16"/>
      <c r="HY38" s="16"/>
      <c r="HZ38" s="16"/>
      <c r="IA38" s="16"/>
      <c r="IB38" s="16"/>
      <c r="IC38" s="16"/>
      <c r="ID38" s="16"/>
      <c r="IE38" s="16"/>
      <c r="IF38" s="16"/>
      <c r="IG38" s="16"/>
      <c r="IH38" s="16"/>
      <c r="II38" s="18"/>
      <c r="IJ38" s="143"/>
      <c r="IK38" s="143"/>
      <c r="IL38" s="143"/>
      <c r="IM38" s="16"/>
      <c r="IN38" s="16"/>
      <c r="IO38" s="16"/>
    </row>
    <row r="39" spans="2:249" ht="18" customHeight="1" x14ac:dyDescent="0.25">
      <c r="B39" s="7"/>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46"/>
      <c r="IJ40" s="146"/>
      <c r="IK40" s="146"/>
      <c r="IL40" s="146"/>
      <c r="IM40" s="146"/>
    </row>
    <row r="41" spans="2:249" ht="18" customHeight="1" x14ac:dyDescent="0.25">
      <c r="B41" s="7"/>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47"/>
      <c r="IJ41" s="147"/>
      <c r="IK41" s="147"/>
      <c r="IL41" s="147"/>
      <c r="IM41" s="147"/>
    </row>
    <row r="42" spans="2:249" ht="18" customHeight="1" x14ac:dyDescent="0.25">
      <c r="B42" s="7"/>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145"/>
      <c r="IJ42" s="145"/>
      <c r="IK42" s="145"/>
      <c r="IL42" s="145"/>
      <c r="IM42" s="145"/>
    </row>
    <row r="43" spans="2:249" ht="18" customHeight="1" x14ac:dyDescent="0.25">
      <c r="B43" s="7"/>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143"/>
      <c r="IJ43" s="143"/>
      <c r="IK43" s="143"/>
      <c r="IL43" s="143"/>
      <c r="IM43" s="143"/>
    </row>
    <row r="44" spans="2:249" ht="18" customHeight="1" x14ac:dyDescent="0.25">
      <c r="B44" s="7"/>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143"/>
      <c r="IJ44" s="143"/>
      <c r="IK44" s="143"/>
      <c r="IL44" s="143"/>
      <c r="IM44" s="143"/>
    </row>
    <row r="45" spans="2:249" ht="18" customHeight="1" x14ac:dyDescent="0.25">
      <c r="B45" s="7"/>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143"/>
      <c r="IJ45" s="143"/>
      <c r="IK45" s="143"/>
      <c r="IL45" s="143"/>
      <c r="IM45" s="143"/>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143"/>
      <c r="IJ46" s="143"/>
      <c r="IK46" s="143"/>
      <c r="IL46" s="143"/>
      <c r="IM46" s="143"/>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143"/>
      <c r="IJ47" s="143"/>
      <c r="IK47" s="143"/>
      <c r="IL47" s="143"/>
      <c r="IM47" s="143"/>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143"/>
      <c r="IJ48" s="143"/>
      <c r="IK48" s="143"/>
      <c r="IL48" s="143"/>
      <c r="IM48" s="143"/>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12</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143"/>
      <c r="IJ49" s="143"/>
      <c r="IK49" s="143"/>
      <c r="IL49" s="143"/>
      <c r="IM49" s="143"/>
    </row>
    <row r="50" spans="2:247" ht="18" customHeight="1" x14ac:dyDescent="0.25">
      <c r="DY50" s="1"/>
      <c r="DZ50" s="1"/>
      <c r="EA50" s="1"/>
      <c r="ED50" s="1"/>
      <c r="EE50" s="1"/>
      <c r="EF50" s="1"/>
      <c r="EG50" s="1"/>
      <c r="EH50" s="1"/>
      <c r="EI50" s="1"/>
      <c r="EJ50" s="1"/>
      <c r="EK50" s="1"/>
      <c r="EL50" s="1"/>
      <c r="EM50" s="1"/>
      <c r="EN50" s="1"/>
      <c r="EO50" s="1"/>
      <c r="EP50" s="1"/>
      <c r="EQ50" s="1"/>
      <c r="ER50" s="1"/>
      <c r="II50" s="143"/>
      <c r="IJ50" s="143"/>
      <c r="IK50" s="143"/>
      <c r="IL50" s="143"/>
      <c r="IM50" s="143"/>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143"/>
      <c r="IJ51" s="143"/>
      <c r="IK51" s="143"/>
      <c r="IL51" s="143"/>
      <c r="IM51" s="143"/>
    </row>
    <row r="52" spans="2:247"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II52" s="143"/>
      <c r="IJ52" s="143"/>
      <c r="IK52" s="143"/>
      <c r="IL52" s="143"/>
      <c r="IM52" s="143"/>
    </row>
    <row r="53" spans="2:247"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II53" s="143"/>
      <c r="IJ53" s="143"/>
      <c r="IK53" s="143"/>
      <c r="IL53" s="143"/>
      <c r="IM53" s="143"/>
    </row>
    <row r="54" spans="2:247" ht="18" customHeight="1" thickBot="1" x14ac:dyDescent="0.3">
      <c r="B54" s="7"/>
      <c r="C54" s="11">
        <f>C7</f>
        <v>0</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f>C7</f>
        <v>0</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II54" s="143"/>
      <c r="IJ54" s="143"/>
      <c r="IK54" s="143"/>
      <c r="IL54" s="143"/>
      <c r="IM54" s="143"/>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CD55" s="10"/>
      <c r="CF55" s="9"/>
      <c r="DY55" s="1"/>
      <c r="DZ55" s="1"/>
      <c r="EA55" s="1"/>
      <c r="ED55" s="1"/>
      <c r="EE55" s="1"/>
      <c r="EF55" s="1"/>
      <c r="EG55" s="1"/>
      <c r="EH55" s="1"/>
      <c r="EI55" s="1"/>
      <c r="EJ55" s="1"/>
      <c r="EK55" s="1"/>
      <c r="EL55" s="1"/>
      <c r="EM55" s="1"/>
      <c r="EN55" s="1"/>
      <c r="EO55" s="1"/>
      <c r="EP55" s="1"/>
      <c r="EQ55" s="1"/>
      <c r="ER55" s="1"/>
      <c r="II55" s="143"/>
      <c r="IJ55" s="143"/>
      <c r="IK55" s="143"/>
      <c r="IL55" s="143"/>
      <c r="IM55" s="143"/>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AR56" s="7"/>
      <c r="AS56" s="17"/>
      <c r="CF56" s="9"/>
      <c r="DY56" s="1"/>
      <c r="DZ56" s="1"/>
      <c r="EA56" s="1"/>
      <c r="ED56" s="1"/>
      <c r="EE56" s="1"/>
      <c r="EF56" s="1"/>
      <c r="EG56" s="1"/>
      <c r="EH56" s="1"/>
      <c r="EI56" s="1"/>
      <c r="EJ56" s="1"/>
      <c r="EK56" s="1"/>
      <c r="EL56" s="1"/>
      <c r="EM56" s="1"/>
      <c r="EN56" s="1"/>
      <c r="EO56" s="1"/>
      <c r="EP56" s="1"/>
      <c r="EQ56" s="1"/>
      <c r="ER56" s="1"/>
      <c r="II56" s="143"/>
      <c r="IJ56" s="143"/>
      <c r="IK56" s="143"/>
      <c r="IL56" s="143"/>
      <c r="IM56" s="143"/>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AR57" s="7"/>
      <c r="CF57" s="9"/>
      <c r="DY57" s="1"/>
      <c r="DZ57" s="1"/>
      <c r="EA57" s="1"/>
      <c r="ED57" s="1"/>
      <c r="EE57" s="1"/>
      <c r="EF57" s="1"/>
      <c r="EG57" s="1"/>
      <c r="EH57" s="1"/>
      <c r="EI57" s="1"/>
      <c r="EJ57" s="1"/>
      <c r="EK57" s="1"/>
      <c r="EL57" s="1"/>
      <c r="EM57" s="1"/>
      <c r="EN57" s="1"/>
      <c r="EO57" s="1"/>
      <c r="EP57" s="1"/>
      <c r="EQ57" s="1"/>
      <c r="ER57" s="1"/>
      <c r="II57" s="144"/>
      <c r="IJ57" s="144"/>
      <c r="IK57" s="144"/>
      <c r="IL57" s="144"/>
      <c r="IM57" s="144"/>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AR58" s="7"/>
      <c r="CF58" s="9"/>
      <c r="DY58" s="1"/>
      <c r="DZ58" s="1"/>
      <c r="EA58" s="1"/>
      <c r="ED58" s="1"/>
      <c r="EE58" s="1"/>
      <c r="EF58" s="1"/>
      <c r="EG58" s="1"/>
      <c r="EH58" s="1"/>
      <c r="EI58" s="1"/>
      <c r="EJ58" s="1"/>
      <c r="EK58" s="1"/>
      <c r="EL58" s="1"/>
      <c r="EM58" s="1"/>
      <c r="EN58" s="1"/>
      <c r="EO58" s="1"/>
      <c r="EP58" s="1"/>
      <c r="EQ58" s="1"/>
      <c r="ER58" s="1"/>
      <c r="II58" s="145"/>
      <c r="IJ58" s="145"/>
      <c r="IK58" s="145"/>
      <c r="IL58" s="145"/>
      <c r="IM58" s="145"/>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AR59" s="7"/>
      <c r="CF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AR60" s="7"/>
      <c r="CF60" s="9"/>
      <c r="DY60" s="1"/>
      <c r="DZ60" s="1"/>
      <c r="EA60" s="1"/>
      <c r="ED60" s="1"/>
      <c r="EE60" s="1"/>
      <c r="EF60" s="1"/>
      <c r="EG60" s="1"/>
      <c r="EH60" s="1"/>
      <c r="EI60" s="1"/>
      <c r="EJ60" s="1"/>
      <c r="EK60" s="1"/>
      <c r="EL60" s="1"/>
      <c r="EM60" s="1"/>
      <c r="EN60" s="1"/>
      <c r="EO60" s="1"/>
      <c r="EP60" s="1"/>
      <c r="EQ60" s="1"/>
      <c r="ER60" s="1"/>
      <c r="HL60" s="152"/>
      <c r="HM60" s="152"/>
      <c r="HN60" s="152"/>
      <c r="HO60" s="152"/>
      <c r="HP60" s="152"/>
      <c r="HQ60" s="152"/>
      <c r="HR60" s="152"/>
      <c r="HS60" s="152"/>
      <c r="HT60" s="152"/>
      <c r="HU60" s="152"/>
      <c r="HV60" s="152"/>
      <c r="HW60" s="152"/>
      <c r="HX60" s="152"/>
      <c r="HY60" s="152"/>
      <c r="HZ60" s="153"/>
      <c r="IA60" s="153"/>
      <c r="IB60" s="153"/>
      <c r="IC60" s="153"/>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AR61" s="7"/>
      <c r="CF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AR62" s="7"/>
      <c r="CF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AR63" s="7"/>
      <c r="CF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AR64" s="7"/>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AR72" s="7"/>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AR75" s="7"/>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AR79" s="7"/>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AR80" s="7"/>
      <c r="CF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AR81" s="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AR90" s="7"/>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AR91" s="7"/>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AR92" s="7"/>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AR93" s="7"/>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B101" s="7"/>
      <c r="AN101" s="8"/>
      <c r="AP101" s="9"/>
      <c r="AR101" s="7"/>
      <c r="CD101" s="8"/>
      <c r="CF101" s="9"/>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B102" s="7"/>
      <c r="AN102" s="10"/>
      <c r="AP102" s="9"/>
      <c r="AR102" s="7"/>
      <c r="CD102" s="10"/>
      <c r="CF102" s="9"/>
      <c r="DY102" s="1"/>
      <c r="DZ102" s="1"/>
      <c r="EA102" s="1"/>
      <c r="ED102" s="1"/>
      <c r="EE102" s="1"/>
      <c r="EF102" s="1"/>
      <c r="EG102" s="1"/>
      <c r="EH102" s="1"/>
      <c r="EI102" s="1"/>
      <c r="EJ102" s="1"/>
      <c r="EK102" s="1"/>
      <c r="EL102" s="1"/>
      <c r="EM102" s="1"/>
      <c r="EN102" s="1"/>
      <c r="EO102" s="1"/>
      <c r="EP102" s="1"/>
      <c r="EQ102" s="1"/>
      <c r="ER102" s="1"/>
    </row>
    <row r="103" spans="2:148" ht="18" customHeight="1" thickBot="1" x14ac:dyDescent="0.3">
      <c r="B103" s="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B104" s="7"/>
      <c r="AP104" s="9"/>
      <c r="AR104" s="7"/>
      <c r="CF104" s="9"/>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B105" s="7"/>
      <c r="AP105" s="9"/>
      <c r="AR105" s="7"/>
      <c r="CF105" s="9"/>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B106" s="7"/>
      <c r="AP106" s="9"/>
      <c r="AR106" s="7"/>
      <c r="CF106" s="9"/>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B107" s="7"/>
      <c r="AP107" s="9"/>
      <c r="AR107" s="7"/>
      <c r="CF107" s="9"/>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B108" s="7"/>
      <c r="AP108" s="9"/>
      <c r="AR108" s="7"/>
      <c r="CF108" s="9"/>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B109" s="7"/>
      <c r="AP109" s="9"/>
      <c r="AR109" s="7"/>
      <c r="CF109" s="9"/>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B110" s="7"/>
      <c r="AP110" s="9"/>
      <c r="AR110" s="7"/>
      <c r="CF110" s="9"/>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B111" s="7"/>
      <c r="AP111" s="9"/>
      <c r="AR111" s="7"/>
      <c r="CF111" s="9"/>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B112" s="7"/>
      <c r="AP112" s="9"/>
      <c r="AR112" s="7"/>
      <c r="CF112" s="9"/>
      <c r="DY112" s="1"/>
      <c r="DZ112" s="1"/>
      <c r="EA112" s="1"/>
      <c r="ED112" s="1"/>
      <c r="EE112" s="1"/>
      <c r="EF112" s="1"/>
      <c r="EG112" s="1"/>
      <c r="EH112" s="1"/>
      <c r="EI112" s="1"/>
      <c r="EJ112" s="1"/>
      <c r="EK112" s="1"/>
      <c r="EL112" s="1"/>
      <c r="EM112" s="1"/>
      <c r="EN112" s="1"/>
      <c r="EO112" s="1"/>
      <c r="EP112" s="1"/>
      <c r="EQ112" s="1"/>
      <c r="ER112" s="1"/>
    </row>
    <row r="113" spans="2:148" ht="18" customHeight="1" x14ac:dyDescent="0.25">
      <c r="B113" s="7"/>
      <c r="AP113" s="9"/>
      <c r="AR113" s="7"/>
      <c r="CF113" s="9"/>
      <c r="DY113" s="1"/>
      <c r="DZ113" s="1"/>
      <c r="EA113" s="1"/>
      <c r="ED113" s="1"/>
      <c r="EE113" s="1"/>
      <c r="EF113" s="1"/>
      <c r="EG113" s="1"/>
      <c r="EH113" s="1"/>
      <c r="EI113" s="1"/>
      <c r="EJ113" s="1"/>
      <c r="EK113" s="1"/>
      <c r="EL113" s="1"/>
      <c r="EM113" s="1"/>
      <c r="EN113" s="1"/>
      <c r="EO113" s="1"/>
      <c r="EP113" s="1"/>
      <c r="EQ113" s="1"/>
      <c r="ER113" s="1"/>
    </row>
    <row r="114" spans="2:148" ht="18" customHeight="1" x14ac:dyDescent="0.25">
      <c r="B114" s="7"/>
      <c r="AP114" s="9"/>
      <c r="AR114" s="7"/>
      <c r="CF114" s="9"/>
      <c r="DY114" s="1"/>
      <c r="DZ114" s="1"/>
      <c r="EA114" s="1"/>
      <c r="ED114" s="1"/>
      <c r="EE114" s="1"/>
      <c r="EF114" s="1"/>
      <c r="EG114" s="1"/>
      <c r="EH114" s="1"/>
      <c r="EI114" s="1"/>
      <c r="EJ114" s="1"/>
      <c r="EK114" s="1"/>
      <c r="EL114" s="1"/>
      <c r="EM114" s="1"/>
      <c r="EN114" s="1"/>
      <c r="EO114" s="1"/>
      <c r="EP114" s="1"/>
      <c r="EQ114" s="1"/>
      <c r="ER114" s="1"/>
    </row>
    <row r="115" spans="2:148" ht="18" customHeight="1" x14ac:dyDescent="0.25">
      <c r="B115" s="7"/>
      <c r="AP115" s="9"/>
      <c r="AR115" s="7"/>
      <c r="CF115" s="9"/>
      <c r="DY115" s="1"/>
      <c r="DZ115" s="1"/>
      <c r="EA115" s="1"/>
      <c r="ED115" s="1"/>
      <c r="EE115" s="1"/>
      <c r="EF115" s="1"/>
      <c r="EG115" s="1"/>
      <c r="EH115" s="1"/>
      <c r="EI115" s="1"/>
      <c r="EJ115" s="1"/>
      <c r="EK115" s="1"/>
      <c r="EL115" s="1"/>
      <c r="EM115" s="1"/>
      <c r="EN115" s="1"/>
      <c r="EO115" s="1"/>
      <c r="EP115" s="1"/>
      <c r="EQ115" s="1"/>
      <c r="ER115" s="1"/>
    </row>
    <row r="116" spans="2:148" ht="18" customHeight="1" x14ac:dyDescent="0.25">
      <c r="B116" s="7"/>
      <c r="AP116" s="9"/>
      <c r="AR116" s="7"/>
      <c r="CF116" s="9"/>
      <c r="DY116" s="1"/>
      <c r="DZ116" s="1"/>
      <c r="EA116" s="1"/>
      <c r="ED116" s="1"/>
      <c r="EE116" s="1"/>
      <c r="EF116" s="1"/>
      <c r="EG116" s="1"/>
      <c r="EH116" s="1"/>
      <c r="EI116" s="1"/>
      <c r="EJ116" s="1"/>
      <c r="EK116" s="1"/>
      <c r="EL116" s="1"/>
      <c r="EM116" s="1"/>
      <c r="EN116" s="1"/>
      <c r="EO116" s="1"/>
      <c r="EP116" s="1"/>
      <c r="EQ116" s="1"/>
      <c r="ER116" s="1"/>
    </row>
    <row r="117" spans="2:148" ht="18" customHeight="1" x14ac:dyDescent="0.25">
      <c r="B117" s="7"/>
      <c r="AP117" s="9"/>
      <c r="AR117" s="7"/>
      <c r="CF117" s="9"/>
      <c r="DY117" s="1"/>
      <c r="DZ117" s="1"/>
      <c r="EA117" s="1"/>
      <c r="ED117" s="1"/>
      <c r="EE117" s="1"/>
      <c r="EF117" s="1"/>
      <c r="EG117" s="1"/>
      <c r="EH117" s="1"/>
      <c r="EI117" s="1"/>
      <c r="EJ117" s="1"/>
      <c r="EK117" s="1"/>
      <c r="EL117" s="1"/>
      <c r="EM117" s="1"/>
      <c r="EN117" s="1"/>
      <c r="EO117" s="1"/>
      <c r="EP117" s="1"/>
      <c r="EQ117" s="1"/>
      <c r="ER117" s="1"/>
    </row>
    <row r="118" spans="2:148" ht="18" customHeight="1" x14ac:dyDescent="0.25">
      <c r="B118" s="7"/>
      <c r="AP118" s="9"/>
      <c r="AR118" s="7"/>
      <c r="CF118" s="9"/>
      <c r="DY118" s="1"/>
      <c r="DZ118" s="1"/>
      <c r="EA118" s="1"/>
      <c r="ED118" s="1"/>
      <c r="EE118" s="1"/>
      <c r="EF118" s="1"/>
      <c r="EG118" s="1"/>
      <c r="EH118" s="1"/>
      <c r="EI118" s="1"/>
      <c r="EJ118" s="1"/>
      <c r="EK118" s="1"/>
      <c r="EL118" s="1"/>
      <c r="EM118" s="1"/>
      <c r="EN118" s="1"/>
      <c r="EO118" s="1"/>
      <c r="EP118" s="1"/>
      <c r="EQ118" s="1"/>
      <c r="ER118" s="1"/>
    </row>
    <row r="119" spans="2:148" ht="18" customHeight="1" x14ac:dyDescent="0.25">
      <c r="B119" s="7"/>
      <c r="AP119" s="9"/>
      <c r="AR119" s="7"/>
      <c r="CF119" s="9"/>
      <c r="DY119" s="1"/>
      <c r="DZ119" s="1"/>
      <c r="EA119" s="1"/>
      <c r="ED119" s="1"/>
      <c r="EE119" s="1"/>
      <c r="EF119" s="1"/>
      <c r="EG119" s="1"/>
      <c r="EH119" s="1"/>
      <c r="EI119" s="1"/>
      <c r="EJ119" s="1"/>
      <c r="EK119" s="1"/>
      <c r="EL119" s="1"/>
      <c r="EM119" s="1"/>
      <c r="EN119" s="1"/>
      <c r="EO119" s="1"/>
      <c r="EP119" s="1"/>
      <c r="EQ119" s="1"/>
      <c r="ER119" s="1"/>
    </row>
    <row r="120" spans="2:148" ht="18" customHeight="1" x14ac:dyDescent="0.25">
      <c r="B120" s="7"/>
      <c r="AP120" s="9"/>
      <c r="AR120" s="7"/>
      <c r="CF120" s="9"/>
      <c r="DY120" s="1"/>
      <c r="DZ120" s="1"/>
      <c r="EA120" s="1"/>
      <c r="ED120" s="1"/>
      <c r="EE120" s="1"/>
      <c r="EF120" s="1"/>
      <c r="EG120" s="1"/>
      <c r="EH120" s="1"/>
      <c r="EI120" s="1"/>
      <c r="EJ120" s="1"/>
      <c r="EK120" s="1"/>
      <c r="EL120" s="1"/>
      <c r="EM120" s="1"/>
      <c r="EN120" s="1"/>
      <c r="EO120" s="1"/>
      <c r="EP120" s="1"/>
      <c r="EQ120" s="1"/>
      <c r="ER120" s="1"/>
    </row>
    <row r="121" spans="2:148" ht="18" customHeight="1" x14ac:dyDescent="0.25">
      <c r="B121" s="7"/>
      <c r="AP121" s="9"/>
      <c r="AR121" s="7"/>
      <c r="CF121" s="9"/>
      <c r="DY121" s="1"/>
      <c r="DZ121" s="1"/>
      <c r="EA121" s="1"/>
      <c r="ED121" s="1"/>
      <c r="EE121" s="1"/>
      <c r="EF121" s="1"/>
      <c r="EG121" s="1"/>
      <c r="EH121" s="1"/>
      <c r="EI121" s="1"/>
      <c r="EJ121" s="1"/>
      <c r="EK121" s="1"/>
      <c r="EL121" s="1"/>
      <c r="EM121" s="1"/>
      <c r="EN121" s="1"/>
      <c r="EO121" s="1"/>
      <c r="EP121" s="1"/>
      <c r="EQ121" s="1"/>
      <c r="ER121" s="1"/>
    </row>
    <row r="122" spans="2:148" ht="18" customHeight="1" x14ac:dyDescent="0.25">
      <c r="B122" s="7"/>
      <c r="AP122" s="9"/>
      <c r="AR122" s="7"/>
      <c r="CF122" s="9"/>
      <c r="DY122" s="1"/>
      <c r="DZ122" s="1"/>
      <c r="EA122" s="1"/>
      <c r="ED122" s="1"/>
      <c r="EE122" s="1"/>
      <c r="EF122" s="1"/>
      <c r="EG122" s="1"/>
      <c r="EH122" s="1"/>
      <c r="EI122" s="1"/>
      <c r="EJ122" s="1"/>
      <c r="EK122" s="1"/>
      <c r="EL122" s="1"/>
      <c r="EM122" s="1"/>
      <c r="EN122" s="1"/>
      <c r="EO122" s="1"/>
      <c r="EP122" s="1"/>
      <c r="EQ122" s="1"/>
      <c r="ER122" s="1"/>
    </row>
    <row r="123" spans="2:148" ht="18" customHeight="1" x14ac:dyDescent="0.25">
      <c r="B123" s="7"/>
      <c r="AP123" s="9"/>
      <c r="AR123" s="7"/>
      <c r="CF123" s="9"/>
      <c r="DY123" s="1"/>
      <c r="DZ123" s="1"/>
      <c r="EA123" s="1"/>
      <c r="ED123" s="1"/>
      <c r="EE123" s="1"/>
      <c r="EF123" s="1"/>
      <c r="EG123" s="1"/>
      <c r="EH123" s="1"/>
      <c r="EI123" s="1"/>
      <c r="EJ123" s="1"/>
      <c r="EK123" s="1"/>
      <c r="EL123" s="1"/>
      <c r="EM123" s="1"/>
      <c r="EN123" s="1"/>
      <c r="EO123" s="1"/>
      <c r="EP123" s="1"/>
      <c r="EQ123" s="1"/>
      <c r="ER123" s="1"/>
    </row>
    <row r="124" spans="2:148" ht="18" customHeight="1" x14ac:dyDescent="0.25">
      <c r="B124" s="7"/>
      <c r="AP124" s="9"/>
      <c r="AR124" s="7"/>
      <c r="CF124" s="9"/>
      <c r="DY124" s="1"/>
      <c r="DZ124" s="1"/>
      <c r="EA124" s="1"/>
      <c r="ED124" s="1"/>
      <c r="EE124" s="1"/>
      <c r="EF124" s="1"/>
      <c r="EG124" s="1"/>
      <c r="EH124" s="1"/>
      <c r="EI124" s="1"/>
      <c r="EJ124" s="1"/>
      <c r="EK124" s="1"/>
      <c r="EL124" s="1"/>
      <c r="EM124" s="1"/>
      <c r="EN124" s="1"/>
      <c r="EO124" s="1"/>
      <c r="EP124" s="1"/>
      <c r="EQ124" s="1"/>
      <c r="ER124" s="1"/>
    </row>
    <row r="125" spans="2:148" ht="18" customHeight="1" x14ac:dyDescent="0.25">
      <c r="B125" s="7"/>
      <c r="AP125" s="9"/>
      <c r="AR125" s="7"/>
      <c r="CF125" s="9"/>
      <c r="DY125" s="1"/>
      <c r="DZ125" s="1"/>
      <c r="EA125" s="1"/>
      <c r="ED125" s="1"/>
      <c r="EE125" s="1"/>
      <c r="EF125" s="1"/>
      <c r="EG125" s="1"/>
      <c r="EH125" s="1"/>
      <c r="EI125" s="1"/>
      <c r="EJ125" s="1"/>
      <c r="EK125" s="1"/>
      <c r="EL125" s="1"/>
      <c r="EM125" s="1"/>
      <c r="EN125" s="1"/>
      <c r="EO125" s="1"/>
      <c r="EP125" s="1"/>
      <c r="EQ125" s="1"/>
      <c r="ER125" s="1"/>
    </row>
    <row r="126" spans="2:148" ht="18" customHeight="1" x14ac:dyDescent="0.25">
      <c r="B126" s="7"/>
      <c r="AP126" s="9"/>
      <c r="AR126" s="7"/>
      <c r="CF126" s="9"/>
      <c r="DY126" s="1"/>
      <c r="DZ126" s="1"/>
      <c r="EA126" s="1"/>
      <c r="ED126" s="1"/>
      <c r="EE126" s="1"/>
      <c r="EF126" s="1"/>
      <c r="EG126" s="1"/>
      <c r="EH126" s="1"/>
      <c r="EI126" s="1"/>
      <c r="EJ126" s="1"/>
      <c r="EK126" s="1"/>
      <c r="EL126" s="1"/>
      <c r="EM126" s="1"/>
      <c r="EN126" s="1"/>
      <c r="EO126" s="1"/>
      <c r="EP126" s="1"/>
      <c r="EQ126" s="1"/>
      <c r="ER126" s="1"/>
    </row>
    <row r="127" spans="2:148" ht="18" customHeight="1" x14ac:dyDescent="0.25">
      <c r="B127" s="7"/>
      <c r="AP127" s="9"/>
      <c r="AR127" s="7"/>
      <c r="CF127" s="9"/>
      <c r="DY127" s="1"/>
      <c r="DZ127" s="1"/>
      <c r="EA127" s="1"/>
      <c r="ED127" s="1"/>
      <c r="EE127" s="1"/>
      <c r="EF127" s="1"/>
      <c r="EG127" s="1"/>
      <c r="EH127" s="1"/>
      <c r="EI127" s="1"/>
      <c r="EJ127" s="1"/>
      <c r="EK127" s="1"/>
      <c r="EL127" s="1"/>
      <c r="EM127" s="1"/>
      <c r="EN127" s="1"/>
      <c r="EO127" s="1"/>
      <c r="EP127" s="1"/>
      <c r="EQ127" s="1"/>
      <c r="ER127" s="1"/>
    </row>
    <row r="128" spans="2:148" ht="18" customHeight="1" x14ac:dyDescent="0.25">
      <c r="B128" s="7"/>
      <c r="AP128" s="9"/>
      <c r="AR128" s="7"/>
      <c r="CF128" s="9"/>
      <c r="DY128" s="1"/>
      <c r="DZ128" s="1"/>
      <c r="EA128" s="1"/>
      <c r="ED128" s="1"/>
      <c r="EE128" s="1"/>
      <c r="EF128" s="1"/>
      <c r="EG128" s="1"/>
      <c r="EH128" s="1"/>
      <c r="EI128" s="1"/>
      <c r="EJ128" s="1"/>
      <c r="EK128" s="1"/>
      <c r="EL128" s="1"/>
      <c r="EM128" s="1"/>
      <c r="EN128" s="1"/>
      <c r="EO128" s="1"/>
      <c r="EP128" s="1"/>
      <c r="EQ128" s="1"/>
      <c r="ER128" s="1"/>
    </row>
    <row r="129" spans="2:148" ht="18" customHeight="1" x14ac:dyDescent="0.25">
      <c r="B129" s="7"/>
      <c r="AP129" s="9"/>
      <c r="AR129" s="7"/>
      <c r="CF129" s="9"/>
      <c r="DY129" s="1"/>
      <c r="DZ129" s="1"/>
      <c r="EA129" s="1"/>
      <c r="ED129" s="1"/>
      <c r="EE129" s="1"/>
      <c r="EF129" s="1"/>
      <c r="EG129" s="1"/>
      <c r="EH129" s="1"/>
      <c r="EI129" s="1"/>
      <c r="EJ129" s="1"/>
      <c r="EK129" s="1"/>
      <c r="EL129" s="1"/>
      <c r="EM129" s="1"/>
      <c r="EN129" s="1"/>
      <c r="EO129" s="1"/>
      <c r="EP129" s="1"/>
      <c r="EQ129" s="1"/>
      <c r="ER129" s="1"/>
    </row>
    <row r="130" spans="2:148" ht="18" customHeight="1" x14ac:dyDescent="0.25">
      <c r="B130" s="7"/>
      <c r="AP130" s="9"/>
      <c r="AR130" s="7"/>
      <c r="CF130" s="9"/>
      <c r="DY130" s="1"/>
      <c r="DZ130" s="1"/>
      <c r="EA130" s="1"/>
      <c r="ED130" s="1"/>
      <c r="EE130" s="1"/>
      <c r="EF130" s="1"/>
      <c r="EG130" s="1"/>
      <c r="EH130" s="1"/>
      <c r="EI130" s="1"/>
      <c r="EJ130" s="1"/>
      <c r="EK130" s="1"/>
      <c r="EL130" s="1"/>
      <c r="EM130" s="1"/>
      <c r="EN130" s="1"/>
      <c r="EO130" s="1"/>
      <c r="EP130" s="1"/>
      <c r="EQ130" s="1"/>
      <c r="ER130" s="1"/>
    </row>
    <row r="131" spans="2:148" ht="18" customHeight="1" x14ac:dyDescent="0.25">
      <c r="B131" s="7"/>
      <c r="AP131" s="9"/>
      <c r="AR131" s="7"/>
      <c r="CF131" s="9"/>
      <c r="DY131" s="1"/>
      <c r="DZ131" s="1"/>
      <c r="EA131" s="1"/>
      <c r="ED131" s="1"/>
      <c r="EE131" s="1"/>
      <c r="EF131" s="1"/>
      <c r="EG131" s="1"/>
      <c r="EH131" s="1"/>
      <c r="EI131" s="1"/>
      <c r="EJ131" s="1"/>
      <c r="EK131" s="1"/>
      <c r="EL131" s="1"/>
      <c r="EM131" s="1"/>
      <c r="EN131" s="1"/>
      <c r="EO131" s="1"/>
      <c r="EP131" s="1"/>
      <c r="EQ131" s="1"/>
      <c r="ER131" s="1"/>
    </row>
    <row r="132" spans="2:148" ht="18" customHeight="1" x14ac:dyDescent="0.25">
      <c r="B132" s="7"/>
      <c r="AP132" s="9"/>
      <c r="AR132" s="7"/>
      <c r="CF132" s="9"/>
      <c r="DY132" s="1"/>
      <c r="DZ132" s="1"/>
      <c r="EA132" s="1"/>
      <c r="ED132" s="1"/>
      <c r="EE132" s="1"/>
      <c r="EF132" s="1"/>
      <c r="EG132" s="1"/>
      <c r="EH132" s="1"/>
      <c r="EI132" s="1"/>
      <c r="EJ132" s="1"/>
      <c r="EK132" s="1"/>
      <c r="EL132" s="1"/>
      <c r="EM132" s="1"/>
      <c r="EN132" s="1"/>
      <c r="EO132" s="1"/>
      <c r="EP132" s="1"/>
      <c r="EQ132" s="1"/>
      <c r="ER132" s="1"/>
    </row>
    <row r="133" spans="2:148" ht="18" customHeight="1" x14ac:dyDescent="0.25">
      <c r="B133" s="7"/>
      <c r="AP133" s="9"/>
      <c r="AR133" s="7"/>
      <c r="CF133" s="9"/>
      <c r="DY133" s="1"/>
      <c r="DZ133" s="1"/>
      <c r="EA133" s="1"/>
      <c r="ED133" s="1"/>
      <c r="EE133" s="1"/>
      <c r="EF133" s="1"/>
      <c r="EG133" s="1"/>
      <c r="EH133" s="1"/>
      <c r="EI133" s="1"/>
      <c r="EJ133" s="1"/>
      <c r="EK133" s="1"/>
      <c r="EL133" s="1"/>
      <c r="EM133" s="1"/>
      <c r="EN133" s="1"/>
      <c r="EO133" s="1"/>
      <c r="EP133" s="1"/>
      <c r="EQ133" s="1"/>
      <c r="ER133" s="1"/>
    </row>
    <row r="134" spans="2:148" ht="18" customHeight="1" x14ac:dyDescent="0.25">
      <c r="B134" s="7"/>
      <c r="AP134" s="9"/>
      <c r="AR134" s="7"/>
      <c r="CF134" s="9"/>
      <c r="DY134" s="1"/>
      <c r="DZ134" s="1"/>
      <c r="EA134" s="1"/>
      <c r="ED134" s="1"/>
      <c r="EE134" s="1"/>
      <c r="EF134" s="1"/>
      <c r="EG134" s="1"/>
      <c r="EH134" s="1"/>
      <c r="EI134" s="1"/>
      <c r="EJ134" s="1"/>
      <c r="EK134" s="1"/>
      <c r="EL134" s="1"/>
      <c r="EM134" s="1"/>
      <c r="EN134" s="1"/>
      <c r="EO134" s="1"/>
      <c r="EP134" s="1"/>
      <c r="EQ134" s="1"/>
      <c r="ER134" s="1"/>
    </row>
    <row r="135" spans="2:148" ht="18" customHeight="1" x14ac:dyDescent="0.25">
      <c r="B135" s="7"/>
      <c r="AP135" s="9"/>
      <c r="AR135" s="7"/>
      <c r="CF135" s="9"/>
      <c r="DY135" s="1"/>
      <c r="DZ135" s="1"/>
      <c r="EA135" s="1"/>
      <c r="ED135" s="1"/>
      <c r="EE135" s="1"/>
      <c r="EF135" s="1"/>
      <c r="EG135" s="1"/>
      <c r="EH135" s="1"/>
      <c r="EI135" s="1"/>
      <c r="EJ135" s="1"/>
      <c r="EK135" s="1"/>
      <c r="EL135" s="1"/>
      <c r="EM135" s="1"/>
      <c r="EN135" s="1"/>
      <c r="EO135" s="1"/>
      <c r="EP135" s="1"/>
      <c r="EQ135" s="1"/>
      <c r="ER135" s="1"/>
    </row>
    <row r="136" spans="2:148" ht="18" customHeight="1" x14ac:dyDescent="0.25">
      <c r="B136" s="7"/>
      <c r="AP136" s="9"/>
      <c r="AR136" s="7"/>
      <c r="CF136" s="9"/>
      <c r="DY136" s="1"/>
      <c r="DZ136" s="1"/>
      <c r="EA136" s="1"/>
      <c r="ED136" s="1"/>
      <c r="EE136" s="1"/>
      <c r="EF136" s="1"/>
      <c r="EG136" s="1"/>
      <c r="EH136" s="1"/>
      <c r="EI136" s="1"/>
      <c r="EJ136" s="1"/>
      <c r="EK136" s="1"/>
      <c r="EL136" s="1"/>
      <c r="EM136" s="1"/>
      <c r="EN136" s="1"/>
      <c r="EO136" s="1"/>
      <c r="EP136" s="1"/>
      <c r="EQ136" s="1"/>
      <c r="ER136" s="1"/>
    </row>
    <row r="137" spans="2:148" ht="18" customHeight="1" x14ac:dyDescent="0.25">
      <c r="B137" s="7"/>
      <c r="AP137" s="9"/>
      <c r="AR137" s="7"/>
      <c r="CF137" s="9"/>
      <c r="DY137" s="1"/>
      <c r="DZ137" s="1"/>
      <c r="EA137" s="1"/>
      <c r="ED137" s="1"/>
      <c r="EE137" s="1"/>
      <c r="EF137" s="1"/>
      <c r="EG137" s="1"/>
      <c r="EH137" s="1"/>
      <c r="EI137" s="1"/>
      <c r="EJ137" s="1"/>
      <c r="EK137" s="1"/>
      <c r="EL137" s="1"/>
      <c r="EM137" s="1"/>
      <c r="EN137" s="1"/>
      <c r="EO137" s="1"/>
      <c r="EP137" s="1"/>
      <c r="EQ137" s="1"/>
      <c r="ER137" s="1"/>
    </row>
    <row r="138" spans="2:148" ht="18" customHeight="1" x14ac:dyDescent="0.25">
      <c r="B138" s="7"/>
      <c r="AP138" s="9"/>
      <c r="AR138" s="7"/>
      <c r="CF138" s="9"/>
      <c r="DY138" s="1"/>
      <c r="DZ138" s="1"/>
      <c r="EA138" s="1"/>
      <c r="ED138" s="1"/>
      <c r="EE138" s="1"/>
      <c r="EF138" s="1"/>
      <c r="EG138" s="1"/>
      <c r="EH138" s="1"/>
      <c r="EI138" s="1"/>
      <c r="EJ138" s="1"/>
      <c r="EK138" s="1"/>
      <c r="EL138" s="1"/>
      <c r="EM138" s="1"/>
      <c r="EN138" s="1"/>
      <c r="EO138" s="1"/>
      <c r="EP138" s="1"/>
      <c r="EQ138" s="1"/>
      <c r="ER138" s="1"/>
    </row>
    <row r="139" spans="2:148" ht="18" customHeight="1" x14ac:dyDescent="0.25">
      <c r="B139" s="7"/>
      <c r="AP139" s="9"/>
      <c r="AR139" s="7"/>
      <c r="CF139" s="9"/>
      <c r="DY139" s="1"/>
      <c r="DZ139" s="1"/>
      <c r="EA139" s="1"/>
      <c r="ED139" s="1"/>
      <c r="EE139" s="1"/>
      <c r="EF139" s="1"/>
      <c r="EG139" s="1"/>
      <c r="EH139" s="1"/>
      <c r="EI139" s="1"/>
      <c r="EJ139" s="1"/>
      <c r="EK139" s="1"/>
      <c r="EL139" s="1"/>
      <c r="EM139" s="1"/>
      <c r="EN139" s="1"/>
      <c r="EO139" s="1"/>
      <c r="EP139" s="1"/>
      <c r="EQ139" s="1"/>
      <c r="ER139" s="1"/>
    </row>
    <row r="140" spans="2:148" ht="18" customHeight="1" x14ac:dyDescent="0.25">
      <c r="B140" s="7"/>
      <c r="AP140" s="9"/>
      <c r="AR140" s="7"/>
      <c r="CF140" s="9"/>
      <c r="DY140" s="1"/>
      <c r="DZ140" s="1"/>
      <c r="EA140" s="1"/>
      <c r="ED140" s="1"/>
      <c r="EE140" s="1"/>
      <c r="EF140" s="1"/>
      <c r="EG140" s="1"/>
      <c r="EH140" s="1"/>
      <c r="EI140" s="1"/>
      <c r="EJ140" s="1"/>
      <c r="EK140" s="1"/>
      <c r="EL140" s="1"/>
      <c r="EM140" s="1"/>
      <c r="EN140" s="1"/>
      <c r="EO140" s="1"/>
      <c r="EP140" s="1"/>
      <c r="EQ140" s="1"/>
      <c r="ER140" s="1"/>
    </row>
    <row r="141" spans="2:148" ht="18" customHeight="1" x14ac:dyDescent="0.25">
      <c r="B141" s="7"/>
      <c r="AP141" s="9"/>
      <c r="AR141" s="7"/>
      <c r="CF141" s="9"/>
      <c r="DY141" s="1"/>
      <c r="DZ141" s="1"/>
      <c r="EA141" s="1"/>
      <c r="ED141" s="1"/>
      <c r="EE141" s="1"/>
      <c r="EF141" s="1"/>
      <c r="EG141" s="1"/>
      <c r="EH141" s="1"/>
      <c r="EI141" s="1"/>
      <c r="EJ141" s="1"/>
      <c r="EK141" s="1"/>
      <c r="EL141" s="1"/>
      <c r="EM141" s="1"/>
      <c r="EN141" s="1"/>
      <c r="EO141" s="1"/>
      <c r="EP141" s="1"/>
      <c r="EQ141" s="1"/>
      <c r="ER141" s="1"/>
    </row>
    <row r="142" spans="2:148" ht="18" customHeight="1" x14ac:dyDescent="0.25">
      <c r="B142" s="7"/>
      <c r="AP142" s="9"/>
      <c r="AR142" s="7"/>
      <c r="CF142" s="9"/>
      <c r="DY142" s="1"/>
      <c r="DZ142" s="1"/>
      <c r="EA142" s="1"/>
      <c r="ED142" s="1"/>
      <c r="EE142" s="1"/>
      <c r="EF142" s="1"/>
      <c r="EG142" s="1"/>
      <c r="EH142" s="1"/>
      <c r="EI142" s="1"/>
      <c r="EJ142" s="1"/>
      <c r="EK142" s="1"/>
      <c r="EL142" s="1"/>
      <c r="EM142" s="1"/>
      <c r="EN142" s="1"/>
      <c r="EO142" s="1"/>
      <c r="EP142" s="1"/>
      <c r="EQ142" s="1"/>
      <c r="ER142" s="1"/>
    </row>
    <row r="143" spans="2:148" ht="18" customHeight="1" x14ac:dyDescent="0.25">
      <c r="B143" s="7"/>
      <c r="AP143" s="9"/>
      <c r="AR143" s="7"/>
      <c r="CF143" s="9"/>
      <c r="DY143" s="1"/>
      <c r="DZ143" s="1"/>
      <c r="EA143" s="1"/>
      <c r="ED143" s="1"/>
      <c r="EE143" s="1"/>
      <c r="EF143" s="1"/>
      <c r="EG143" s="1"/>
      <c r="EH143" s="1"/>
      <c r="EI143" s="1"/>
      <c r="EJ143" s="1"/>
      <c r="EK143" s="1"/>
      <c r="EL143" s="1"/>
      <c r="EM143" s="1"/>
      <c r="EN143" s="1"/>
      <c r="EO143" s="1"/>
      <c r="EP143" s="1"/>
      <c r="EQ143" s="1"/>
      <c r="ER143" s="1"/>
    </row>
    <row r="144" spans="2:148" ht="18" customHeight="1" x14ac:dyDescent="0.25">
      <c r="B144" s="7"/>
      <c r="AP144" s="9"/>
      <c r="AR144" s="7"/>
      <c r="CF144" s="9"/>
      <c r="DY144" s="1"/>
      <c r="DZ144" s="1"/>
      <c r="EA144" s="1"/>
      <c r="ED144" s="1"/>
      <c r="EE144" s="1"/>
      <c r="EF144" s="1"/>
      <c r="EG144" s="1"/>
      <c r="EH144" s="1"/>
      <c r="EI144" s="1"/>
      <c r="EJ144" s="1"/>
      <c r="EK144" s="1"/>
      <c r="EL144" s="1"/>
      <c r="EM144" s="1"/>
      <c r="EN144" s="1"/>
      <c r="EO144" s="1"/>
      <c r="EP144" s="1"/>
      <c r="EQ144" s="1"/>
      <c r="ER144" s="1"/>
    </row>
    <row r="145" spans="2:148"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c r="DY145" s="1"/>
      <c r="DZ145" s="1"/>
      <c r="EA145" s="1"/>
      <c r="ED145" s="1"/>
      <c r="EE145" s="1"/>
      <c r="EF145" s="1"/>
      <c r="EG145" s="1"/>
      <c r="EH145" s="1"/>
      <c r="EI145" s="1"/>
      <c r="EJ145" s="1"/>
      <c r="EK145" s="1"/>
      <c r="EL145" s="1"/>
      <c r="EM145" s="1"/>
      <c r="EN145" s="1"/>
      <c r="EO145" s="1"/>
      <c r="EP145" s="1"/>
      <c r="EQ145" s="1"/>
      <c r="ER145" s="1"/>
    </row>
    <row r="146" spans="2:148" ht="18" customHeight="1" x14ac:dyDescent="0.25">
      <c r="B146" s="7"/>
      <c r="D146" s="26" t="s">
        <v>4</v>
      </c>
      <c r="AO146" s="15" t="s">
        <v>8</v>
      </c>
      <c r="AP146" s="9"/>
      <c r="AR146" s="7"/>
      <c r="AT146" s="26" t="s">
        <v>4</v>
      </c>
      <c r="CE146" s="15" t="s">
        <v>9</v>
      </c>
      <c r="CF146" s="9"/>
      <c r="DY146" s="1"/>
      <c r="DZ146" s="1"/>
      <c r="EA146" s="1"/>
      <c r="ED146" s="1"/>
      <c r="EE146" s="1"/>
      <c r="EF146" s="1"/>
      <c r="EG146" s="1"/>
      <c r="EH146" s="1"/>
      <c r="EI146" s="1"/>
      <c r="EJ146" s="1"/>
      <c r="EK146" s="1"/>
      <c r="EL146" s="1"/>
      <c r="EM146" s="1"/>
      <c r="EN146" s="1"/>
      <c r="EO146" s="1"/>
      <c r="EP146" s="1"/>
      <c r="EQ146" s="1"/>
      <c r="ER146" s="1"/>
    </row>
    <row r="147" spans="2:148" ht="18" customHeight="1" x14ac:dyDescent="0.25">
      <c r="B147" s="27"/>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9"/>
      <c r="AR147" s="27"/>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9"/>
      <c r="DY147" s="1"/>
      <c r="DZ147" s="1"/>
      <c r="EA147" s="1"/>
      <c r="ED147" s="1"/>
      <c r="EE147" s="1"/>
      <c r="EF147" s="1"/>
      <c r="EG147" s="1"/>
      <c r="EH147" s="1"/>
      <c r="EI147" s="1"/>
      <c r="EJ147" s="1"/>
      <c r="EK147" s="1"/>
      <c r="EL147" s="1"/>
      <c r="EM147" s="1"/>
      <c r="EN147" s="1"/>
      <c r="EO147" s="1"/>
      <c r="EP147" s="1"/>
      <c r="EQ147" s="1"/>
      <c r="ER147" s="1"/>
    </row>
    <row r="148" spans="2:148" ht="18" customHeight="1" x14ac:dyDescent="0.25">
      <c r="DY148" s="1"/>
      <c r="DZ148" s="1"/>
      <c r="EA148" s="1"/>
      <c r="ED148" s="1"/>
      <c r="EE148" s="1"/>
      <c r="EF148" s="1"/>
      <c r="EG148" s="1"/>
      <c r="EH148" s="1"/>
      <c r="EI148" s="1"/>
      <c r="EJ148" s="1"/>
      <c r="EK148" s="1"/>
      <c r="EL148" s="1"/>
      <c r="EM148" s="1"/>
      <c r="EN148" s="1"/>
      <c r="EO148" s="1"/>
      <c r="EP148" s="1"/>
      <c r="EQ148" s="1"/>
      <c r="ER148" s="1"/>
    </row>
    <row r="149" spans="2:148"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c r="DY149" s="1"/>
      <c r="DZ149" s="1"/>
      <c r="EA149" s="1"/>
      <c r="ED149" s="1"/>
      <c r="EE149" s="1"/>
      <c r="EF149" s="1"/>
      <c r="EG149" s="1"/>
      <c r="EH149" s="1"/>
      <c r="EI149" s="1"/>
      <c r="EJ149" s="1"/>
      <c r="EK149" s="1"/>
      <c r="EL149" s="1"/>
      <c r="EM149" s="1"/>
      <c r="EN149" s="1"/>
      <c r="EO149" s="1"/>
      <c r="EP149" s="1"/>
      <c r="EQ149" s="1"/>
      <c r="ER149" s="1"/>
    </row>
    <row r="150" spans="2:148" ht="18" customHeight="1" x14ac:dyDescent="0.25">
      <c r="B150" s="7"/>
      <c r="AN150" s="8"/>
      <c r="AP150" s="9"/>
      <c r="AR150" s="7"/>
      <c r="CD150" s="8"/>
      <c r="CF150" s="9"/>
      <c r="DY150" s="1"/>
      <c r="DZ150" s="1"/>
      <c r="EA150" s="1"/>
      <c r="ED150" s="1"/>
      <c r="EE150" s="1"/>
      <c r="EF150" s="1"/>
      <c r="EG150" s="1"/>
      <c r="EH150" s="1"/>
      <c r="EI150" s="1"/>
      <c r="EJ150" s="1"/>
      <c r="EK150" s="1"/>
      <c r="EL150" s="1"/>
      <c r="EM150" s="1"/>
      <c r="EN150" s="1"/>
      <c r="EO150" s="1"/>
      <c r="EP150" s="1"/>
      <c r="EQ150" s="1"/>
      <c r="ER150" s="1"/>
    </row>
    <row r="151" spans="2:148" ht="18" customHeight="1" x14ac:dyDescent="0.25">
      <c r="B151" s="7"/>
      <c r="AN151" s="10"/>
      <c r="AP151" s="9"/>
      <c r="AR151" s="7"/>
      <c r="CD151" s="10"/>
      <c r="CF151" s="9"/>
      <c r="DY151" s="1"/>
      <c r="DZ151" s="1"/>
      <c r="EA151" s="1"/>
      <c r="ED151" s="1"/>
      <c r="EE151" s="1"/>
      <c r="EF151" s="1"/>
      <c r="EG151" s="1"/>
      <c r="EH151" s="1"/>
      <c r="EI151" s="1"/>
      <c r="EJ151" s="1"/>
      <c r="EK151" s="1"/>
      <c r="EL151" s="1"/>
      <c r="EM151" s="1"/>
      <c r="EN151" s="1"/>
      <c r="EO151" s="1"/>
      <c r="EP151" s="1"/>
      <c r="EQ151" s="1"/>
      <c r="ER151" s="1"/>
    </row>
    <row r="152" spans="2:148" ht="18" customHeight="1" thickBot="1" x14ac:dyDescent="0.3">
      <c r="B152" s="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c r="DY152" s="1"/>
      <c r="DZ152" s="1"/>
      <c r="EA152" s="1"/>
      <c r="ED152" s="1"/>
      <c r="EE152" s="1"/>
      <c r="EF152" s="1"/>
      <c r="EG152" s="1"/>
      <c r="EH152" s="1"/>
      <c r="EI152" s="1"/>
      <c r="EJ152" s="1"/>
      <c r="EK152" s="1"/>
      <c r="EL152" s="1"/>
      <c r="EM152" s="1"/>
      <c r="EN152" s="1"/>
      <c r="EO152" s="1"/>
      <c r="EP152" s="1"/>
      <c r="EQ152" s="1"/>
      <c r="ER152" s="1"/>
    </row>
    <row r="153" spans="2:148" ht="18" customHeight="1" x14ac:dyDescent="0.25">
      <c r="B153" s="7"/>
      <c r="AP153" s="9"/>
      <c r="AR153" s="7"/>
      <c r="CF153" s="9"/>
      <c r="DY153" s="1"/>
      <c r="DZ153" s="1"/>
      <c r="EA153" s="1"/>
      <c r="ED153" s="1"/>
      <c r="EE153" s="1"/>
      <c r="EF153" s="1"/>
      <c r="EG153" s="1"/>
      <c r="EH153" s="1"/>
      <c r="EI153" s="1"/>
      <c r="EJ153" s="1"/>
      <c r="EK153" s="1"/>
      <c r="EL153" s="1"/>
      <c r="EM153" s="1"/>
      <c r="EN153" s="1"/>
      <c r="EO153" s="1"/>
      <c r="EP153" s="1"/>
      <c r="EQ153" s="1"/>
      <c r="ER153" s="1"/>
    </row>
    <row r="154" spans="2:148" ht="18" customHeight="1" x14ac:dyDescent="0.25">
      <c r="B154" s="7"/>
      <c r="AP154" s="9"/>
      <c r="AR154" s="7"/>
      <c r="CF154" s="9"/>
      <c r="DY154" s="1"/>
      <c r="DZ154" s="1"/>
      <c r="EA154" s="1"/>
      <c r="ED154" s="1"/>
      <c r="EE154" s="1"/>
      <c r="EF154" s="1"/>
      <c r="EG154" s="1"/>
      <c r="EH154" s="1"/>
      <c r="EI154" s="1"/>
      <c r="EJ154" s="1"/>
      <c r="EK154" s="1"/>
      <c r="EL154" s="1"/>
      <c r="EM154" s="1"/>
      <c r="EN154" s="1"/>
      <c r="EO154" s="1"/>
      <c r="EP154" s="1"/>
      <c r="EQ154" s="1"/>
      <c r="ER154" s="1"/>
    </row>
    <row r="155" spans="2:148" ht="18" customHeight="1" x14ac:dyDescent="0.25">
      <c r="B155" s="7"/>
      <c r="AP155" s="9"/>
      <c r="AR155" s="7"/>
      <c r="CF155" s="9"/>
      <c r="DY155" s="1"/>
      <c r="DZ155" s="1"/>
      <c r="EA155" s="1"/>
      <c r="ED155" s="1"/>
      <c r="EE155" s="1"/>
      <c r="EF155" s="1"/>
      <c r="EG155" s="1"/>
      <c r="EH155" s="1"/>
      <c r="EI155" s="1"/>
      <c r="EJ155" s="1"/>
      <c r="EK155" s="1"/>
      <c r="EL155" s="1"/>
      <c r="EM155" s="1"/>
      <c r="EN155" s="1"/>
      <c r="EO155" s="1"/>
      <c r="EP155" s="1"/>
      <c r="EQ155" s="1"/>
      <c r="ER155" s="1"/>
    </row>
    <row r="156" spans="2:148" ht="18" customHeight="1" x14ac:dyDescent="0.25">
      <c r="B156" s="7"/>
      <c r="AP156" s="9"/>
      <c r="AR156" s="7"/>
      <c r="CF156" s="9"/>
      <c r="DY156" s="1"/>
      <c r="DZ156" s="1"/>
      <c r="EA156" s="1"/>
      <c r="ED156" s="1"/>
      <c r="EE156" s="1"/>
      <c r="EF156" s="1"/>
      <c r="EG156" s="1"/>
      <c r="EH156" s="1"/>
      <c r="EI156" s="1"/>
      <c r="EJ156" s="1"/>
      <c r="EK156" s="1"/>
      <c r="EL156" s="1"/>
      <c r="EM156" s="1"/>
      <c r="EN156" s="1"/>
      <c r="EO156" s="1"/>
      <c r="EP156" s="1"/>
      <c r="EQ156" s="1"/>
      <c r="ER156" s="1"/>
    </row>
    <row r="157" spans="2:148" ht="18" customHeight="1" x14ac:dyDescent="0.25">
      <c r="B157" s="7"/>
      <c r="AP157" s="9"/>
      <c r="AR157" s="7"/>
      <c r="CF157" s="9"/>
      <c r="DY157" s="1"/>
      <c r="DZ157" s="1"/>
      <c r="EA157" s="1"/>
      <c r="ED157" s="1"/>
      <c r="EE157" s="1"/>
      <c r="EF157" s="1"/>
      <c r="EG157" s="1"/>
      <c r="EH157" s="1"/>
      <c r="EI157" s="1"/>
      <c r="EJ157" s="1"/>
      <c r="EK157" s="1"/>
      <c r="EL157" s="1"/>
      <c r="EM157" s="1"/>
      <c r="EN157" s="1"/>
      <c r="EO157" s="1"/>
      <c r="EP157" s="1"/>
      <c r="EQ157" s="1"/>
      <c r="ER157" s="1"/>
    </row>
    <row r="158" spans="2:148" ht="18" customHeight="1" x14ac:dyDescent="0.25">
      <c r="B158" s="7"/>
      <c r="AP158" s="9"/>
      <c r="AR158" s="7"/>
      <c r="CF158" s="9"/>
      <c r="DY158" s="1"/>
      <c r="DZ158" s="1"/>
      <c r="EA158" s="1"/>
      <c r="ED158" s="1"/>
      <c r="EE158" s="1"/>
      <c r="EF158" s="1"/>
      <c r="EG158" s="1"/>
      <c r="EH158" s="1"/>
      <c r="EI158" s="1"/>
      <c r="EJ158" s="1"/>
      <c r="EK158" s="1"/>
      <c r="EL158" s="1"/>
      <c r="EM158" s="1"/>
      <c r="EN158" s="1"/>
      <c r="EO158" s="1"/>
      <c r="EP158" s="1"/>
      <c r="EQ158" s="1"/>
      <c r="ER158" s="1"/>
    </row>
    <row r="159" spans="2:148" ht="18" customHeight="1" x14ac:dyDescent="0.25">
      <c r="B159" s="7"/>
      <c r="AP159" s="9"/>
      <c r="AR159" s="7"/>
      <c r="CF159" s="9"/>
      <c r="DY159" s="1"/>
      <c r="DZ159" s="1"/>
      <c r="EA159" s="1"/>
      <c r="ED159" s="1"/>
      <c r="EE159" s="1"/>
      <c r="EF159" s="1"/>
      <c r="EG159" s="1"/>
      <c r="EH159" s="1"/>
      <c r="EI159" s="1"/>
      <c r="EJ159" s="1"/>
      <c r="EK159" s="1"/>
      <c r="EL159" s="1"/>
      <c r="EM159" s="1"/>
      <c r="EN159" s="1"/>
      <c r="EO159" s="1"/>
      <c r="EP159" s="1"/>
      <c r="EQ159" s="1"/>
      <c r="ER159" s="1"/>
    </row>
    <row r="160" spans="2:148" ht="18" customHeight="1" x14ac:dyDescent="0.25">
      <c r="B160" s="7"/>
      <c r="AP160" s="9"/>
      <c r="AR160" s="7"/>
      <c r="CF160" s="9"/>
      <c r="DY160" s="1"/>
      <c r="DZ160" s="1"/>
      <c r="EA160" s="1"/>
      <c r="ED160" s="1"/>
      <c r="EE160" s="1"/>
      <c r="EF160" s="1"/>
      <c r="EG160" s="1"/>
      <c r="EH160" s="1"/>
      <c r="EI160" s="1"/>
      <c r="EJ160" s="1"/>
      <c r="EK160" s="1"/>
      <c r="EL160" s="1"/>
      <c r="EM160" s="1"/>
      <c r="EN160" s="1"/>
      <c r="EO160" s="1"/>
      <c r="EP160" s="1"/>
      <c r="EQ160" s="1"/>
      <c r="ER160" s="1"/>
    </row>
    <row r="161" spans="2:148" ht="18" customHeight="1" x14ac:dyDescent="0.25">
      <c r="B161" s="7"/>
      <c r="AP161" s="9"/>
      <c r="AR161" s="7"/>
      <c r="CF161" s="9"/>
      <c r="DY161" s="1"/>
      <c r="DZ161" s="1"/>
      <c r="EA161" s="1"/>
      <c r="ED161" s="1"/>
      <c r="EE161" s="1"/>
      <c r="EF161" s="1"/>
      <c r="EG161" s="1"/>
      <c r="EH161" s="1"/>
      <c r="EI161" s="1"/>
      <c r="EJ161" s="1"/>
      <c r="EK161" s="1"/>
      <c r="EL161" s="1"/>
      <c r="EM161" s="1"/>
      <c r="EN161" s="1"/>
      <c r="EO161" s="1"/>
      <c r="EP161" s="1"/>
      <c r="EQ161" s="1"/>
      <c r="ER161" s="1"/>
    </row>
    <row r="162" spans="2:148" ht="18" customHeight="1" x14ac:dyDescent="0.25">
      <c r="B162" s="7"/>
      <c r="AP162" s="9"/>
      <c r="AR162" s="7"/>
      <c r="CF162" s="9"/>
      <c r="DY162" s="1"/>
      <c r="DZ162" s="1"/>
      <c r="EA162" s="1"/>
      <c r="ED162" s="1"/>
      <c r="EE162" s="1"/>
      <c r="EF162" s="1"/>
      <c r="EG162" s="1"/>
      <c r="EH162" s="1"/>
      <c r="EI162" s="1"/>
      <c r="EJ162" s="1"/>
      <c r="EK162" s="1"/>
      <c r="EL162" s="1"/>
      <c r="EM162" s="1"/>
      <c r="EN162" s="1"/>
      <c r="EO162" s="1"/>
      <c r="EP162" s="1"/>
      <c r="EQ162" s="1"/>
      <c r="ER162" s="1"/>
    </row>
    <row r="163" spans="2:148" ht="18" customHeight="1" x14ac:dyDescent="0.25">
      <c r="B163" s="7"/>
      <c r="AP163" s="9"/>
      <c r="AR163" s="7"/>
      <c r="CF163" s="9"/>
      <c r="DY163" s="1"/>
      <c r="DZ163" s="1"/>
      <c r="EA163" s="1"/>
      <c r="ED163" s="1"/>
      <c r="EE163" s="1"/>
      <c r="EF163" s="1"/>
      <c r="EG163" s="1"/>
      <c r="EH163" s="1"/>
      <c r="EI163" s="1"/>
      <c r="EJ163" s="1"/>
      <c r="EK163" s="1"/>
      <c r="EL163" s="1"/>
      <c r="EM163" s="1"/>
      <c r="EN163" s="1"/>
      <c r="EO163" s="1"/>
      <c r="EP163" s="1"/>
      <c r="EQ163" s="1"/>
      <c r="ER163" s="1"/>
    </row>
    <row r="164" spans="2:148" ht="18" customHeight="1" x14ac:dyDescent="0.25">
      <c r="B164" s="7"/>
      <c r="AP164" s="9"/>
      <c r="AR164" s="7"/>
      <c r="CF164" s="9"/>
      <c r="DY164" s="1"/>
      <c r="DZ164" s="1"/>
      <c r="EA164" s="1"/>
      <c r="ED164" s="1"/>
      <c r="EE164" s="1"/>
      <c r="EF164" s="1"/>
      <c r="EG164" s="1"/>
      <c r="EH164" s="1"/>
      <c r="EI164" s="1"/>
      <c r="EJ164" s="1"/>
      <c r="EK164" s="1"/>
      <c r="EL164" s="1"/>
      <c r="EM164" s="1"/>
      <c r="EN164" s="1"/>
      <c r="EO164" s="1"/>
      <c r="EP164" s="1"/>
      <c r="EQ164" s="1"/>
      <c r="ER164" s="1"/>
    </row>
    <row r="165" spans="2:148" ht="18" customHeight="1" x14ac:dyDescent="0.25">
      <c r="B165" s="7"/>
      <c r="AP165" s="9"/>
      <c r="AR165" s="7"/>
      <c r="CF165" s="9"/>
      <c r="DY165" s="1"/>
      <c r="DZ165" s="1"/>
      <c r="EA165" s="1"/>
      <c r="ED165" s="1"/>
      <c r="EE165" s="1"/>
      <c r="EF165" s="1"/>
      <c r="EG165" s="1"/>
      <c r="EH165" s="1"/>
      <c r="EI165" s="1"/>
      <c r="EJ165" s="1"/>
      <c r="EK165" s="1"/>
      <c r="EL165" s="1"/>
      <c r="EM165" s="1"/>
      <c r="EN165" s="1"/>
      <c r="EO165" s="1"/>
      <c r="EP165" s="1"/>
      <c r="EQ165" s="1"/>
      <c r="ER165" s="1"/>
    </row>
    <row r="166" spans="2:148" ht="18" customHeight="1" x14ac:dyDescent="0.25">
      <c r="B166" s="7"/>
      <c r="AP166" s="9"/>
      <c r="AR166" s="7"/>
      <c r="CF166" s="9"/>
      <c r="DY166" s="1"/>
      <c r="DZ166" s="1"/>
      <c r="EA166" s="1"/>
      <c r="ED166" s="1"/>
      <c r="EE166" s="1"/>
      <c r="EF166" s="1"/>
      <c r="EG166" s="1"/>
      <c r="EH166" s="1"/>
      <c r="EI166" s="1"/>
      <c r="EJ166" s="1"/>
      <c r="EK166" s="1"/>
      <c r="EL166" s="1"/>
      <c r="EM166" s="1"/>
      <c r="EN166" s="1"/>
      <c r="EO166" s="1"/>
      <c r="EP166" s="1"/>
      <c r="EQ166" s="1"/>
      <c r="ER166" s="1"/>
    </row>
    <row r="167" spans="2:148" ht="18" customHeight="1" x14ac:dyDescent="0.25">
      <c r="B167" s="7"/>
      <c r="AP167" s="9"/>
      <c r="AR167" s="7"/>
      <c r="CF167" s="9"/>
      <c r="DY167" s="1"/>
      <c r="DZ167" s="1"/>
      <c r="EA167" s="1"/>
      <c r="ED167" s="1"/>
      <c r="EE167" s="1"/>
      <c r="EF167" s="1"/>
      <c r="EG167" s="1"/>
      <c r="EH167" s="1"/>
      <c r="EI167" s="1"/>
      <c r="EJ167" s="1"/>
      <c r="EK167" s="1"/>
      <c r="EL167" s="1"/>
      <c r="EM167" s="1"/>
      <c r="EN167" s="1"/>
      <c r="EO167" s="1"/>
      <c r="EP167" s="1"/>
      <c r="EQ167" s="1"/>
      <c r="ER167" s="1"/>
    </row>
    <row r="168" spans="2:148" ht="18" customHeight="1" x14ac:dyDescent="0.25">
      <c r="B168" s="7"/>
      <c r="AP168" s="9"/>
      <c r="AR168" s="7"/>
      <c r="CF168" s="9"/>
      <c r="DY168" s="1"/>
      <c r="DZ168" s="1"/>
      <c r="EA168" s="1"/>
      <c r="ED168" s="1"/>
      <c r="EE168" s="1"/>
      <c r="EF168" s="1"/>
      <c r="EG168" s="1"/>
      <c r="EH168" s="1"/>
      <c r="EI168" s="1"/>
      <c r="EJ168" s="1"/>
      <c r="EK168" s="1"/>
      <c r="EL168" s="1"/>
      <c r="EM168" s="1"/>
      <c r="EN168" s="1"/>
      <c r="EO168" s="1"/>
      <c r="EP168" s="1"/>
      <c r="EQ168" s="1"/>
      <c r="ER168" s="1"/>
    </row>
    <row r="169" spans="2:148" ht="18" customHeight="1" x14ac:dyDescent="0.25">
      <c r="B169" s="7"/>
      <c r="AP169" s="9"/>
      <c r="AR169" s="7"/>
      <c r="CF169" s="9"/>
      <c r="DY169" s="1"/>
      <c r="DZ169" s="1"/>
      <c r="EA169" s="1"/>
      <c r="ED169" s="1"/>
      <c r="EE169" s="1"/>
      <c r="EF169" s="1"/>
      <c r="EG169" s="1"/>
      <c r="EH169" s="1"/>
      <c r="EI169" s="1"/>
      <c r="EJ169" s="1"/>
      <c r="EK169" s="1"/>
      <c r="EL169" s="1"/>
      <c r="EM169" s="1"/>
      <c r="EN169" s="1"/>
      <c r="EO169" s="1"/>
      <c r="EP169" s="1"/>
      <c r="EQ169" s="1"/>
      <c r="ER169" s="1"/>
    </row>
    <row r="170" spans="2:148" ht="18" customHeight="1" x14ac:dyDescent="0.25">
      <c r="B170" s="7"/>
      <c r="AP170" s="9"/>
      <c r="AR170" s="7"/>
      <c r="CF170" s="9"/>
      <c r="DY170" s="1"/>
      <c r="DZ170" s="1"/>
      <c r="EA170" s="1"/>
      <c r="ED170" s="1"/>
      <c r="EE170" s="1"/>
      <c r="EF170" s="1"/>
      <c r="EG170" s="1"/>
      <c r="EH170" s="1"/>
      <c r="EI170" s="1"/>
      <c r="EJ170" s="1"/>
      <c r="EK170" s="1"/>
      <c r="EL170" s="1"/>
      <c r="EM170" s="1"/>
      <c r="EN170" s="1"/>
      <c r="EO170" s="1"/>
      <c r="EP170" s="1"/>
      <c r="EQ170" s="1"/>
      <c r="ER170" s="1"/>
    </row>
    <row r="171" spans="2:148" ht="18" customHeight="1" x14ac:dyDescent="0.25">
      <c r="B171" s="7"/>
      <c r="AP171" s="9"/>
      <c r="AR171" s="7"/>
      <c r="CF171" s="9"/>
      <c r="DY171" s="1"/>
      <c r="DZ171" s="1"/>
      <c r="EA171" s="1"/>
      <c r="ED171" s="1"/>
      <c r="EE171" s="1"/>
      <c r="EF171" s="1"/>
      <c r="EG171" s="1"/>
      <c r="EH171" s="1"/>
      <c r="EI171" s="1"/>
      <c r="EJ171" s="1"/>
      <c r="EK171" s="1"/>
      <c r="EL171" s="1"/>
      <c r="EM171" s="1"/>
      <c r="EN171" s="1"/>
      <c r="EO171" s="1"/>
      <c r="EP171" s="1"/>
      <c r="EQ171" s="1"/>
      <c r="ER171" s="1"/>
    </row>
    <row r="172" spans="2:148" ht="18" customHeight="1" x14ac:dyDescent="0.25">
      <c r="B172" s="7"/>
      <c r="AP172" s="9"/>
      <c r="AR172" s="7"/>
      <c r="CF172" s="9"/>
      <c r="DY172" s="1"/>
      <c r="DZ172" s="1"/>
      <c r="EA172" s="1"/>
      <c r="ED172" s="1"/>
      <c r="EE172" s="1"/>
      <c r="EF172" s="1"/>
      <c r="EG172" s="1"/>
      <c r="EH172" s="1"/>
      <c r="EI172" s="1"/>
      <c r="EJ172" s="1"/>
      <c r="EK172" s="1"/>
      <c r="EL172" s="1"/>
      <c r="EM172" s="1"/>
      <c r="EN172" s="1"/>
      <c r="EO172" s="1"/>
      <c r="EP172" s="1"/>
      <c r="EQ172" s="1"/>
      <c r="ER172" s="1"/>
    </row>
    <row r="173" spans="2:148" ht="18" customHeight="1" x14ac:dyDescent="0.25">
      <c r="B173" s="7"/>
      <c r="AP173" s="9"/>
      <c r="AR173" s="7"/>
      <c r="CF173" s="9"/>
      <c r="DY173" s="1"/>
      <c r="DZ173" s="1"/>
      <c r="EA173" s="1"/>
      <c r="ED173" s="1"/>
      <c r="EE173" s="1"/>
      <c r="EF173" s="1"/>
      <c r="EG173" s="1"/>
      <c r="EH173" s="1"/>
      <c r="EI173" s="1"/>
      <c r="EJ173" s="1"/>
      <c r="EK173" s="1"/>
      <c r="EL173" s="1"/>
      <c r="EM173" s="1"/>
      <c r="EN173" s="1"/>
      <c r="EO173" s="1"/>
      <c r="EP173" s="1"/>
      <c r="EQ173" s="1"/>
      <c r="ER173" s="1"/>
    </row>
    <row r="174" spans="2:148" ht="18" customHeight="1" x14ac:dyDescent="0.25">
      <c r="B174" s="7"/>
      <c r="AP174" s="9"/>
      <c r="AR174" s="7"/>
      <c r="CF174" s="9"/>
      <c r="DY174" s="1"/>
      <c r="DZ174" s="1"/>
      <c r="EA174" s="1"/>
      <c r="ED174" s="1"/>
      <c r="EE174" s="1"/>
      <c r="EF174" s="1"/>
      <c r="EG174" s="1"/>
      <c r="EH174" s="1"/>
      <c r="EI174" s="1"/>
      <c r="EJ174" s="1"/>
      <c r="EK174" s="1"/>
      <c r="EL174" s="1"/>
      <c r="EM174" s="1"/>
      <c r="EN174" s="1"/>
      <c r="EO174" s="1"/>
      <c r="EP174" s="1"/>
      <c r="EQ174" s="1"/>
      <c r="ER174" s="1"/>
    </row>
    <row r="175" spans="2:148" ht="18" customHeight="1" x14ac:dyDescent="0.25">
      <c r="B175" s="7"/>
      <c r="AP175" s="9"/>
      <c r="AR175" s="7"/>
      <c r="CF175" s="9"/>
      <c r="DY175" s="1"/>
      <c r="DZ175" s="1"/>
      <c r="EA175" s="1"/>
      <c r="ED175" s="1"/>
      <c r="EE175" s="1"/>
      <c r="EF175" s="1"/>
      <c r="EG175" s="1"/>
      <c r="EH175" s="1"/>
      <c r="EI175" s="1"/>
      <c r="EJ175" s="1"/>
      <c r="EK175" s="1"/>
      <c r="EL175" s="1"/>
      <c r="EM175" s="1"/>
      <c r="EN175" s="1"/>
      <c r="EO175" s="1"/>
      <c r="EP175" s="1"/>
      <c r="EQ175" s="1"/>
      <c r="ER175" s="1"/>
    </row>
    <row r="176" spans="2:148" ht="18" customHeight="1" x14ac:dyDescent="0.25">
      <c r="B176" s="7"/>
      <c r="AP176" s="9"/>
      <c r="AR176" s="7"/>
      <c r="CF176" s="9"/>
      <c r="DY176" s="1"/>
      <c r="DZ176" s="1"/>
      <c r="EA176" s="1"/>
      <c r="ED176" s="1"/>
      <c r="EE176" s="1"/>
      <c r="EF176" s="1"/>
      <c r="EG176" s="1"/>
      <c r="EH176" s="1"/>
      <c r="EI176" s="1"/>
      <c r="EJ176" s="1"/>
      <c r="EK176" s="1"/>
      <c r="EL176" s="1"/>
      <c r="EM176" s="1"/>
      <c r="EN176" s="1"/>
      <c r="EO176" s="1"/>
      <c r="EP176" s="1"/>
      <c r="EQ176" s="1"/>
      <c r="ER176" s="1"/>
    </row>
    <row r="177" spans="2:148" ht="18" customHeight="1" x14ac:dyDescent="0.25">
      <c r="B177" s="7"/>
      <c r="AP177" s="9"/>
      <c r="AR177" s="7"/>
      <c r="CF177" s="9"/>
      <c r="DY177" s="1"/>
      <c r="DZ177" s="1"/>
      <c r="EA177" s="1"/>
      <c r="ED177" s="1"/>
      <c r="EE177" s="1"/>
      <c r="EF177" s="1"/>
      <c r="EG177" s="1"/>
      <c r="EH177" s="1"/>
      <c r="EI177" s="1"/>
      <c r="EJ177" s="1"/>
      <c r="EK177" s="1"/>
      <c r="EL177" s="1"/>
      <c r="EM177" s="1"/>
      <c r="EN177" s="1"/>
      <c r="EO177" s="1"/>
      <c r="EP177" s="1"/>
      <c r="EQ177" s="1"/>
      <c r="ER177" s="1"/>
    </row>
    <row r="178" spans="2:148" ht="18" customHeight="1" x14ac:dyDescent="0.25">
      <c r="B178" s="7"/>
      <c r="AP178" s="9"/>
      <c r="AR178" s="7"/>
      <c r="CF178" s="9"/>
      <c r="DY178" s="1"/>
      <c r="DZ178" s="1"/>
      <c r="EA178" s="1"/>
      <c r="ED178" s="1"/>
      <c r="EE178" s="1"/>
      <c r="EF178" s="1"/>
      <c r="EG178" s="1"/>
      <c r="EH178" s="1"/>
      <c r="EI178" s="1"/>
      <c r="EJ178" s="1"/>
      <c r="EK178" s="1"/>
      <c r="EL178" s="1"/>
      <c r="EM178" s="1"/>
      <c r="EN178" s="1"/>
      <c r="EO178" s="1"/>
      <c r="EP178" s="1"/>
      <c r="EQ178" s="1"/>
      <c r="ER178" s="1"/>
    </row>
    <row r="179" spans="2:148" ht="18" customHeight="1" x14ac:dyDescent="0.25">
      <c r="B179" s="7"/>
      <c r="AP179" s="9"/>
      <c r="AR179" s="7"/>
      <c r="CF179" s="9"/>
      <c r="DY179" s="1"/>
      <c r="DZ179" s="1"/>
      <c r="EA179" s="1"/>
      <c r="ED179" s="1"/>
      <c r="EE179" s="1"/>
      <c r="EF179" s="1"/>
      <c r="EG179" s="1"/>
      <c r="EH179" s="1"/>
      <c r="EI179" s="1"/>
      <c r="EJ179" s="1"/>
      <c r="EK179" s="1"/>
      <c r="EL179" s="1"/>
      <c r="EM179" s="1"/>
      <c r="EN179" s="1"/>
      <c r="EO179" s="1"/>
      <c r="EP179" s="1"/>
      <c r="EQ179" s="1"/>
      <c r="ER179" s="1"/>
    </row>
    <row r="180" spans="2:148" ht="18" customHeight="1" x14ac:dyDescent="0.25">
      <c r="B180" s="7"/>
      <c r="AP180" s="9"/>
      <c r="AR180" s="7"/>
      <c r="CF180" s="9"/>
      <c r="DY180" s="1"/>
      <c r="DZ180" s="1"/>
      <c r="EA180" s="1"/>
      <c r="ED180" s="1"/>
      <c r="EE180" s="1"/>
      <c r="EF180" s="1"/>
      <c r="EG180" s="1"/>
      <c r="EH180" s="1"/>
      <c r="EI180" s="1"/>
      <c r="EJ180" s="1"/>
      <c r="EK180" s="1"/>
      <c r="EL180" s="1"/>
      <c r="EM180" s="1"/>
      <c r="EN180" s="1"/>
      <c r="EO180" s="1"/>
      <c r="EP180" s="1"/>
      <c r="EQ180" s="1"/>
      <c r="ER180" s="1"/>
    </row>
    <row r="181" spans="2:148" ht="18" customHeight="1" x14ac:dyDescent="0.25">
      <c r="B181" s="7"/>
      <c r="AP181" s="9"/>
      <c r="AR181" s="7"/>
      <c r="CF181" s="9"/>
      <c r="DY181" s="1"/>
      <c r="DZ181" s="1"/>
      <c r="EA181" s="1"/>
      <c r="ED181" s="1"/>
      <c r="EE181" s="1"/>
      <c r="EF181" s="1"/>
      <c r="EG181" s="1"/>
      <c r="EH181" s="1"/>
      <c r="EI181" s="1"/>
      <c r="EJ181" s="1"/>
      <c r="EK181" s="1"/>
      <c r="EL181" s="1"/>
      <c r="EM181" s="1"/>
      <c r="EN181" s="1"/>
      <c r="EO181" s="1"/>
      <c r="EP181" s="1"/>
      <c r="EQ181" s="1"/>
      <c r="ER181" s="1"/>
    </row>
    <row r="182" spans="2:148" ht="18" customHeight="1" x14ac:dyDescent="0.25">
      <c r="B182" s="7"/>
      <c r="AP182" s="9"/>
      <c r="AR182" s="7"/>
      <c r="CF182" s="9"/>
      <c r="DY182" s="1"/>
      <c r="DZ182" s="1"/>
      <c r="EA182" s="1"/>
      <c r="ED182" s="1"/>
      <c r="EE182" s="1"/>
      <c r="EF182" s="1"/>
      <c r="EG182" s="1"/>
      <c r="EH182" s="1"/>
      <c r="EI182" s="1"/>
      <c r="EJ182" s="1"/>
      <c r="EK182" s="1"/>
      <c r="EL182" s="1"/>
      <c r="EM182" s="1"/>
      <c r="EN182" s="1"/>
      <c r="EO182" s="1"/>
      <c r="EP182" s="1"/>
      <c r="EQ182" s="1"/>
      <c r="ER182" s="1"/>
    </row>
    <row r="183" spans="2:148" ht="18" customHeight="1" x14ac:dyDescent="0.25">
      <c r="B183" s="7"/>
      <c r="AP183" s="9"/>
      <c r="AR183" s="7"/>
      <c r="CF183" s="9"/>
      <c r="DY183" s="1"/>
      <c r="DZ183" s="1"/>
      <c r="EA183" s="1"/>
      <c r="ED183" s="1"/>
      <c r="EE183" s="1"/>
      <c r="EF183" s="1"/>
      <c r="EG183" s="1"/>
      <c r="EH183" s="1"/>
      <c r="EI183" s="1"/>
      <c r="EJ183" s="1"/>
      <c r="EK183" s="1"/>
      <c r="EL183" s="1"/>
      <c r="EM183" s="1"/>
      <c r="EN183" s="1"/>
      <c r="EO183" s="1"/>
      <c r="EP183" s="1"/>
      <c r="EQ183" s="1"/>
      <c r="ER183" s="1"/>
    </row>
    <row r="184" spans="2:148" ht="18" customHeight="1" x14ac:dyDescent="0.25">
      <c r="B184" s="7"/>
      <c r="AP184" s="9"/>
      <c r="AR184" s="7"/>
      <c r="CF184" s="9"/>
      <c r="DY184" s="1"/>
      <c r="DZ184" s="1"/>
      <c r="EA184" s="1"/>
      <c r="ED184" s="1"/>
      <c r="EE184" s="1"/>
      <c r="EF184" s="1"/>
      <c r="EG184" s="1"/>
      <c r="EH184" s="1"/>
      <c r="EI184" s="1"/>
      <c r="EJ184" s="1"/>
      <c r="EK184" s="1"/>
      <c r="EL184" s="1"/>
      <c r="EM184" s="1"/>
      <c r="EN184" s="1"/>
      <c r="EO184" s="1"/>
      <c r="EP184" s="1"/>
      <c r="EQ184" s="1"/>
      <c r="ER184" s="1"/>
    </row>
    <row r="185" spans="2:148" ht="18" customHeight="1" x14ac:dyDescent="0.25">
      <c r="B185" s="7"/>
      <c r="AP185" s="9"/>
      <c r="AR185" s="7"/>
      <c r="CF185" s="9"/>
      <c r="DY185" s="1"/>
      <c r="DZ185" s="1"/>
      <c r="EA185" s="1"/>
      <c r="ED185" s="1"/>
      <c r="EE185" s="1"/>
      <c r="EF185" s="1"/>
      <c r="EG185" s="1"/>
      <c r="EH185" s="1"/>
      <c r="EI185" s="1"/>
      <c r="EJ185" s="1"/>
      <c r="EK185" s="1"/>
      <c r="EL185" s="1"/>
      <c r="EM185" s="1"/>
      <c r="EN185" s="1"/>
      <c r="EO185" s="1"/>
      <c r="EP185" s="1"/>
      <c r="EQ185" s="1"/>
      <c r="ER185" s="1"/>
    </row>
    <row r="186" spans="2:148" ht="18" customHeight="1" x14ac:dyDescent="0.25">
      <c r="B186" s="7"/>
      <c r="AP186" s="9"/>
      <c r="AR186" s="7"/>
      <c r="CF186" s="9"/>
      <c r="DY186" s="1"/>
      <c r="DZ186" s="1"/>
      <c r="EA186" s="1"/>
      <c r="ED186" s="1"/>
      <c r="EE186" s="1"/>
      <c r="EF186" s="1"/>
      <c r="EG186" s="1"/>
      <c r="EH186" s="1"/>
      <c r="EI186" s="1"/>
      <c r="EJ186" s="1"/>
      <c r="EK186" s="1"/>
      <c r="EL186" s="1"/>
      <c r="EM186" s="1"/>
      <c r="EN186" s="1"/>
      <c r="EO186" s="1"/>
      <c r="EP186" s="1"/>
      <c r="EQ186" s="1"/>
      <c r="ER186" s="1"/>
    </row>
    <row r="187" spans="2:148" ht="18" customHeight="1" x14ac:dyDescent="0.25">
      <c r="B187" s="7"/>
      <c r="AP187" s="9"/>
      <c r="AR187" s="7"/>
      <c r="CF187" s="9"/>
      <c r="DY187" s="1"/>
      <c r="DZ187" s="1"/>
      <c r="EA187" s="1"/>
      <c r="ED187" s="1"/>
      <c r="EE187" s="1"/>
      <c r="EF187" s="1"/>
      <c r="EG187" s="1"/>
      <c r="EH187" s="1"/>
      <c r="EI187" s="1"/>
      <c r="EJ187" s="1"/>
      <c r="EK187" s="1"/>
      <c r="EL187" s="1"/>
      <c r="EM187" s="1"/>
      <c r="EN187" s="1"/>
      <c r="EO187" s="1"/>
      <c r="EP187" s="1"/>
      <c r="EQ187" s="1"/>
      <c r="ER187" s="1"/>
    </row>
    <row r="188" spans="2:148" ht="18" customHeight="1" x14ac:dyDescent="0.25">
      <c r="B188" s="7"/>
      <c r="AP188" s="9"/>
      <c r="AR188" s="7"/>
      <c r="CF188" s="9"/>
      <c r="DY188" s="1"/>
      <c r="DZ188" s="1"/>
      <c r="EA188" s="1"/>
      <c r="ED188" s="1"/>
      <c r="EE188" s="1"/>
      <c r="EF188" s="1"/>
      <c r="EG188" s="1"/>
      <c r="EH188" s="1"/>
      <c r="EI188" s="1"/>
      <c r="EJ188" s="1"/>
      <c r="EK188" s="1"/>
      <c r="EL188" s="1"/>
      <c r="EM188" s="1"/>
      <c r="EN188" s="1"/>
      <c r="EO188" s="1"/>
      <c r="EP188" s="1"/>
      <c r="EQ188" s="1"/>
      <c r="ER188" s="1"/>
    </row>
    <row r="189" spans="2:148" ht="18" customHeight="1" x14ac:dyDescent="0.25">
      <c r="B189" s="7"/>
      <c r="AP189" s="9"/>
      <c r="AR189" s="7"/>
      <c r="CF189" s="9"/>
      <c r="DY189" s="1"/>
      <c r="DZ189" s="1"/>
      <c r="EA189" s="1"/>
      <c r="ED189" s="1"/>
      <c r="EE189" s="1"/>
      <c r="EF189" s="1"/>
      <c r="EG189" s="1"/>
      <c r="EH189" s="1"/>
      <c r="EI189" s="1"/>
      <c r="EJ189" s="1"/>
      <c r="EK189" s="1"/>
      <c r="EL189" s="1"/>
      <c r="EM189" s="1"/>
      <c r="EN189" s="1"/>
      <c r="EO189" s="1"/>
      <c r="EP189" s="1"/>
      <c r="EQ189" s="1"/>
      <c r="ER189" s="1"/>
    </row>
    <row r="190" spans="2:148" ht="18" customHeight="1" x14ac:dyDescent="0.25">
      <c r="B190" s="7"/>
      <c r="AP190" s="9"/>
      <c r="AR190" s="7"/>
      <c r="CF190" s="9"/>
      <c r="DY190" s="1"/>
      <c r="DZ190" s="1"/>
      <c r="EA190" s="1"/>
      <c r="ED190" s="1"/>
      <c r="EE190" s="1"/>
      <c r="EF190" s="1"/>
      <c r="EG190" s="1"/>
      <c r="EH190" s="1"/>
      <c r="EI190" s="1"/>
      <c r="EJ190" s="1"/>
      <c r="EK190" s="1"/>
      <c r="EL190" s="1"/>
      <c r="EM190" s="1"/>
      <c r="EN190" s="1"/>
      <c r="EO190" s="1"/>
      <c r="EP190" s="1"/>
      <c r="EQ190" s="1"/>
      <c r="ER190" s="1"/>
    </row>
    <row r="191" spans="2:148" ht="18" customHeight="1" x14ac:dyDescent="0.25">
      <c r="B191" s="7"/>
      <c r="AP191" s="9"/>
      <c r="AR191" s="7"/>
      <c r="CF191" s="9"/>
      <c r="DY191" s="1"/>
      <c r="DZ191" s="1"/>
      <c r="EA191" s="1"/>
      <c r="ED191" s="1"/>
      <c r="EE191" s="1"/>
      <c r="EF191" s="1"/>
      <c r="EG191" s="1"/>
      <c r="EH191" s="1"/>
      <c r="EI191" s="1"/>
      <c r="EJ191" s="1"/>
      <c r="EK191" s="1"/>
      <c r="EL191" s="1"/>
      <c r="EM191" s="1"/>
      <c r="EN191" s="1"/>
      <c r="EO191" s="1"/>
      <c r="EP191" s="1"/>
      <c r="EQ191" s="1"/>
      <c r="ER191" s="1"/>
    </row>
    <row r="192" spans="2:148" ht="18" customHeight="1" x14ac:dyDescent="0.25">
      <c r="B192" s="7"/>
      <c r="AP192" s="9"/>
      <c r="AR192" s="7"/>
      <c r="CF192" s="9"/>
      <c r="DY192" s="1"/>
      <c r="DZ192" s="1"/>
      <c r="EA192" s="1"/>
      <c r="ED192" s="1"/>
      <c r="EE192" s="1"/>
      <c r="EF192" s="1"/>
      <c r="EG192" s="1"/>
      <c r="EH192" s="1"/>
      <c r="EI192" s="1"/>
      <c r="EJ192" s="1"/>
      <c r="EK192" s="1"/>
      <c r="EL192" s="1"/>
      <c r="EM192" s="1"/>
      <c r="EN192" s="1"/>
      <c r="EO192" s="1"/>
      <c r="EP192" s="1"/>
      <c r="EQ192" s="1"/>
      <c r="ER192" s="1"/>
    </row>
    <row r="193" spans="2:148" ht="18" customHeight="1" x14ac:dyDescent="0.25">
      <c r="B193" s="7"/>
      <c r="AP193" s="9"/>
      <c r="AR193" s="7"/>
      <c r="CF193" s="9"/>
      <c r="DY193" s="1"/>
      <c r="DZ193" s="1"/>
      <c r="EA193" s="1"/>
      <c r="ED193" s="1"/>
      <c r="EE193" s="1"/>
      <c r="EF193" s="1"/>
      <c r="EG193" s="1"/>
      <c r="EH193" s="1"/>
      <c r="EI193" s="1"/>
      <c r="EJ193" s="1"/>
      <c r="EK193" s="1"/>
      <c r="EL193" s="1"/>
      <c r="EM193" s="1"/>
      <c r="EN193" s="1"/>
      <c r="EO193" s="1"/>
      <c r="EP193" s="1"/>
      <c r="EQ193" s="1"/>
      <c r="ER193" s="1"/>
    </row>
    <row r="194" spans="2:148"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c r="DY194" s="1"/>
      <c r="DZ194" s="1"/>
      <c r="EA194" s="1"/>
      <c r="ED194" s="1"/>
      <c r="EE194" s="1"/>
      <c r="EF194" s="1"/>
      <c r="EG194" s="1"/>
      <c r="EH194" s="1"/>
      <c r="EI194" s="1"/>
      <c r="EJ194" s="1"/>
      <c r="EK194" s="1"/>
      <c r="EL194" s="1"/>
      <c r="EM194" s="1"/>
      <c r="EN194" s="1"/>
      <c r="EO194" s="1"/>
      <c r="EP194" s="1"/>
      <c r="EQ194" s="1"/>
      <c r="ER194" s="1"/>
    </row>
    <row r="195" spans="2:148" ht="18" customHeight="1" x14ac:dyDescent="0.25">
      <c r="B195" s="7"/>
      <c r="D195" s="26" t="s">
        <v>4</v>
      </c>
      <c r="AO195" s="15" t="s">
        <v>10</v>
      </c>
      <c r="AP195" s="9"/>
      <c r="AR195" s="7"/>
      <c r="AT195" s="26" t="s">
        <v>4</v>
      </c>
      <c r="CE195" s="15" t="s">
        <v>11</v>
      </c>
      <c r="CF195" s="9"/>
      <c r="DY195" s="1"/>
      <c r="DZ195" s="1"/>
      <c r="EA195" s="1"/>
      <c r="ED195" s="1"/>
      <c r="EE195" s="1"/>
      <c r="EF195" s="1"/>
      <c r="EG195" s="1"/>
      <c r="EH195" s="1"/>
      <c r="EI195" s="1"/>
      <c r="EJ195" s="1"/>
      <c r="EK195" s="1"/>
      <c r="EL195" s="1"/>
      <c r="EM195" s="1"/>
      <c r="EN195" s="1"/>
      <c r="EO195" s="1"/>
      <c r="EP195" s="1"/>
      <c r="EQ195" s="1"/>
      <c r="ER195" s="1"/>
    </row>
    <row r="196" spans="2:148" ht="18" customHeight="1" x14ac:dyDescent="0.25">
      <c r="B196" s="27"/>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9"/>
      <c r="AR196" s="27"/>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9"/>
      <c r="DY196" s="1"/>
      <c r="DZ196" s="1"/>
      <c r="EA196" s="1"/>
      <c r="ED196" s="1"/>
      <c r="EE196" s="1"/>
      <c r="EF196" s="1"/>
      <c r="EG196" s="1"/>
      <c r="EH196" s="1"/>
      <c r="EI196" s="1"/>
      <c r="EJ196" s="1"/>
      <c r="EK196" s="1"/>
      <c r="EL196" s="1"/>
      <c r="EM196" s="1"/>
      <c r="EN196" s="1"/>
      <c r="EO196" s="1"/>
      <c r="EP196" s="1"/>
      <c r="EQ196" s="1"/>
      <c r="ER196" s="1"/>
    </row>
    <row r="197" spans="2:148" ht="18" customHeight="1" x14ac:dyDescent="0.25">
      <c r="DY197" s="1"/>
      <c r="DZ197" s="1"/>
      <c r="EA197" s="1"/>
      <c r="ED197" s="1"/>
      <c r="EE197" s="1"/>
      <c r="EF197" s="1"/>
      <c r="EG197" s="1"/>
      <c r="EH197" s="1"/>
      <c r="EI197" s="1"/>
      <c r="EJ197" s="1"/>
      <c r="EK197" s="1"/>
      <c r="EL197" s="1"/>
      <c r="EM197" s="1"/>
      <c r="EN197" s="1"/>
      <c r="EO197" s="1"/>
      <c r="EP197" s="1"/>
      <c r="EQ197" s="1"/>
      <c r="ER197" s="1"/>
    </row>
    <row r="198" spans="2:148" ht="18" customHeight="1" x14ac:dyDescent="0.25">
      <c r="DY198" s="1"/>
      <c r="DZ198" s="1"/>
      <c r="EA198" s="1"/>
      <c r="ED198" s="1"/>
      <c r="EE198" s="1"/>
      <c r="EF198" s="1"/>
      <c r="EG198" s="1"/>
      <c r="EH198" s="1"/>
      <c r="EI198" s="1"/>
      <c r="EJ198" s="1"/>
      <c r="EK198" s="1"/>
      <c r="EL198" s="1"/>
      <c r="EM198" s="1"/>
      <c r="EN198" s="1"/>
      <c r="EO198" s="1"/>
      <c r="EP198" s="1"/>
      <c r="EQ198" s="1"/>
      <c r="ER198" s="1"/>
    </row>
    <row r="199" spans="2:148" x14ac:dyDescent="0.25">
      <c r="DY199" s="1"/>
      <c r="DZ199" s="1"/>
      <c r="EA199" s="1"/>
      <c r="ED199" s="1"/>
      <c r="EE199" s="1"/>
      <c r="EF199" s="1"/>
      <c r="EG199" s="1"/>
      <c r="EH199" s="1"/>
      <c r="EI199" s="1"/>
      <c r="EJ199" s="1"/>
      <c r="EK199" s="1"/>
      <c r="EL199" s="1"/>
      <c r="EM199" s="1"/>
      <c r="EN199" s="1"/>
      <c r="EO199" s="1"/>
      <c r="EP199" s="1"/>
      <c r="EQ199" s="1"/>
      <c r="ER199" s="1"/>
    </row>
    <row r="200" spans="2:148" x14ac:dyDescent="0.25">
      <c r="DY200" s="1"/>
      <c r="DZ200" s="1"/>
      <c r="EA200" s="1"/>
      <c r="ED200" s="1"/>
      <c r="EE200" s="1"/>
      <c r="EF200" s="1"/>
      <c r="EG200" s="1"/>
      <c r="EH200" s="1"/>
      <c r="EI200" s="1"/>
      <c r="EJ200" s="1"/>
      <c r="EK200" s="1"/>
      <c r="EL200" s="1"/>
      <c r="EM200" s="1"/>
      <c r="EN200" s="1"/>
      <c r="EO200" s="1"/>
      <c r="EP200" s="1"/>
      <c r="EQ200" s="1"/>
      <c r="ER200" s="1"/>
    </row>
    <row r="201" spans="2:148" x14ac:dyDescent="0.25">
      <c r="DY201" s="1"/>
      <c r="DZ201" s="1"/>
      <c r="EA201" s="1"/>
      <c r="ED201" s="1"/>
      <c r="EE201" s="1"/>
      <c r="EF201" s="1"/>
      <c r="EG201" s="1"/>
      <c r="EH201" s="1"/>
      <c r="EI201" s="1"/>
      <c r="EJ201" s="1"/>
      <c r="EK201" s="1"/>
      <c r="EL201" s="1"/>
      <c r="EM201" s="1"/>
      <c r="EN201" s="1"/>
      <c r="EO201" s="1"/>
      <c r="EP201" s="1"/>
      <c r="EQ201" s="1"/>
      <c r="ER201" s="1"/>
    </row>
    <row r="202" spans="2:148" x14ac:dyDescent="0.25">
      <c r="DY202" s="1"/>
      <c r="DZ202" s="1"/>
      <c r="EA202" s="1"/>
      <c r="ED202" s="1"/>
      <c r="EE202" s="1"/>
      <c r="EF202" s="1"/>
      <c r="EG202" s="1"/>
      <c r="EH202" s="1"/>
      <c r="EI202" s="1"/>
      <c r="EJ202" s="1"/>
      <c r="EK202" s="1"/>
      <c r="EL202" s="1"/>
      <c r="EM202" s="1"/>
      <c r="EN202" s="1"/>
      <c r="EO202" s="1"/>
      <c r="EP202" s="1"/>
      <c r="EQ202" s="1"/>
      <c r="ER202" s="1"/>
    </row>
    <row r="203" spans="2:148" x14ac:dyDescent="0.25">
      <c r="DY203" s="1"/>
      <c r="DZ203" s="1"/>
      <c r="EA203" s="1"/>
      <c r="ED203" s="1"/>
      <c r="EE203" s="1"/>
      <c r="EF203" s="1"/>
      <c r="EG203" s="1"/>
      <c r="EH203" s="1"/>
      <c r="EI203" s="1"/>
      <c r="EJ203" s="1"/>
      <c r="EK203" s="1"/>
      <c r="EL203" s="1"/>
      <c r="EM203" s="1"/>
      <c r="EN203" s="1"/>
      <c r="EO203" s="1"/>
      <c r="EP203" s="1"/>
      <c r="EQ203" s="1"/>
      <c r="ER203" s="1"/>
    </row>
    <row r="204" spans="2:148" x14ac:dyDescent="0.25">
      <c r="DY204" s="1"/>
      <c r="DZ204" s="1"/>
      <c r="EA204" s="1"/>
      <c r="ED204" s="1"/>
      <c r="EE204" s="1"/>
      <c r="EF204" s="1"/>
      <c r="EG204" s="1"/>
      <c r="EH204" s="1"/>
      <c r="EI204" s="1"/>
      <c r="EJ204" s="1"/>
      <c r="EK204" s="1"/>
      <c r="EL204" s="1"/>
      <c r="EM204" s="1"/>
      <c r="EN204" s="1"/>
      <c r="EO204" s="1"/>
      <c r="EP204" s="1"/>
      <c r="EQ204" s="1"/>
      <c r="ER204" s="1"/>
    </row>
    <row r="205" spans="2:148" x14ac:dyDescent="0.25">
      <c r="DY205" s="1"/>
      <c r="DZ205" s="1"/>
      <c r="EA205" s="1"/>
      <c r="ED205" s="1"/>
      <c r="EE205" s="1"/>
      <c r="EF205" s="1"/>
      <c r="EG205" s="1"/>
      <c r="EH205" s="1"/>
      <c r="EI205" s="1"/>
      <c r="EJ205" s="1"/>
      <c r="EK205" s="1"/>
      <c r="EL205" s="1"/>
      <c r="EM205" s="1"/>
      <c r="EN205" s="1"/>
      <c r="EO205" s="1"/>
      <c r="EP205" s="1"/>
      <c r="EQ205" s="1"/>
      <c r="ER205" s="1"/>
    </row>
    <row r="206" spans="2:148" x14ac:dyDescent="0.25">
      <c r="DY206" s="1"/>
      <c r="DZ206" s="1"/>
      <c r="EA206" s="1"/>
      <c r="ED206" s="1"/>
      <c r="EE206" s="1"/>
      <c r="EF206" s="1"/>
      <c r="EG206" s="1"/>
      <c r="EH206" s="1"/>
      <c r="EI206" s="1"/>
      <c r="EJ206" s="1"/>
      <c r="EK206" s="1"/>
      <c r="EL206" s="1"/>
      <c r="EM206" s="1"/>
      <c r="EN206" s="1"/>
      <c r="EO206" s="1"/>
      <c r="EP206" s="1"/>
      <c r="EQ206" s="1"/>
      <c r="ER206" s="1"/>
    </row>
    <row r="207" spans="2:148" x14ac:dyDescent="0.25">
      <c r="DY207" s="1"/>
      <c r="DZ207" s="1"/>
      <c r="EA207" s="1"/>
      <c r="ED207" s="1"/>
      <c r="EE207" s="1"/>
      <c r="EF207" s="1"/>
      <c r="EG207" s="1"/>
      <c r="EH207" s="1"/>
      <c r="EI207" s="1"/>
      <c r="EJ207" s="1"/>
      <c r="EK207" s="1"/>
      <c r="EL207" s="1"/>
      <c r="EM207" s="1"/>
      <c r="EN207" s="1"/>
      <c r="EO207" s="1"/>
      <c r="EP207" s="1"/>
      <c r="EQ207" s="1"/>
      <c r="ER207" s="1"/>
    </row>
    <row r="208" spans="2:148" x14ac:dyDescent="0.25">
      <c r="DY208" s="1"/>
      <c r="DZ208" s="1"/>
      <c r="EA208" s="1"/>
      <c r="ED208" s="1"/>
      <c r="EE208" s="1"/>
      <c r="EF208" s="1"/>
      <c r="EG208" s="1"/>
      <c r="EH208" s="1"/>
      <c r="EI208" s="1"/>
      <c r="EJ208" s="1"/>
      <c r="EK208" s="1"/>
      <c r="EL208" s="1"/>
      <c r="EM208" s="1"/>
      <c r="EN208" s="1"/>
      <c r="EO208" s="1"/>
      <c r="EP208" s="1"/>
      <c r="EQ208" s="1"/>
      <c r="ER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DS0uqwwoxFX+dsDtTcstGZw9sLdWQEb11FJ+d6umQPM5n8fow8lREB47ORy22NT+sGiYJw/m+mEWmZxr4TbYaQ==" saltValue="SvF5By1ZxYFm2MyP1fomRw==" spinCount="100000" sheet="1" objects="1" scenarios="1"/>
  <mergeCells count="27">
    <mergeCell ref="HO38:HQ38"/>
    <mergeCell ref="IJ38:IL38"/>
    <mergeCell ref="HC35:IO35"/>
    <mergeCell ref="HS36:HU36"/>
    <mergeCell ref="HL60:HY60"/>
    <mergeCell ref="HZ60:IC60"/>
    <mergeCell ref="II50:IM50"/>
    <mergeCell ref="II51:IM51"/>
    <mergeCell ref="II52:IM52"/>
    <mergeCell ref="II53:IM53"/>
    <mergeCell ref="II54:IM54"/>
    <mergeCell ref="C8:AO9"/>
    <mergeCell ref="II55:IM55"/>
    <mergeCell ref="II56:IM56"/>
    <mergeCell ref="II57:IM57"/>
    <mergeCell ref="II58:IM58"/>
    <mergeCell ref="II46:IM46"/>
    <mergeCell ref="II47:IM47"/>
    <mergeCell ref="II48:IM48"/>
    <mergeCell ref="II49:IM49"/>
    <mergeCell ref="II42:IM42"/>
    <mergeCell ref="II43:IM43"/>
    <mergeCell ref="II44:IM44"/>
    <mergeCell ref="II45:IM45"/>
    <mergeCell ref="II40:IM41"/>
    <mergeCell ref="HO37:HQ37"/>
    <mergeCell ref="IJ37:IL37"/>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76B6-B81A-472B-AD06-F2ACE0835E20}">
  <sheetPr>
    <pageSetUpPr fitToPage="1"/>
  </sheetPr>
  <dimension ref="B1:HG305"/>
  <sheetViews>
    <sheetView tabSelected="1" topLeftCell="A23" zoomScale="115" zoomScaleNormal="115" workbookViewId="0">
      <selection activeCell="K37" sqref="K37:O37"/>
    </sheetView>
  </sheetViews>
  <sheetFormatPr defaultRowHeight="15" x14ac:dyDescent="0.25"/>
  <cols>
    <col min="1" max="84" width="2.7109375" style="1" customWidth="1"/>
    <col min="85" max="128" width="2.7109375" style="1" hidden="1" customWidth="1"/>
    <col min="129" max="131" width="2.7109375" style="2" hidden="1" customWidth="1"/>
    <col min="132" max="133" width="2.7109375" style="1" hidden="1" customWidth="1"/>
    <col min="134" max="148" width="2.7109375" style="3" hidden="1" customWidth="1"/>
    <col min="149" max="183" width="2.7109375" style="1" hidden="1" customWidth="1"/>
    <col min="184" max="189" width="9.140625" style="1" hidden="1" customWidth="1"/>
    <col min="190" max="249" width="2.7109375" style="1" customWidth="1"/>
    <col min="250" max="250" width="9.140625" style="1" customWidth="1"/>
    <col min="251" max="16384" width="9.140625" style="1"/>
  </cols>
  <sheetData>
    <row r="1" spans="2:172" ht="18" customHeight="1" x14ac:dyDescent="0.25"/>
    <row r="2" spans="2:172"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72" ht="18" customHeight="1" x14ac:dyDescent="0.25">
      <c r="B3" s="7"/>
      <c r="AO3" s="8" t="s">
        <v>0</v>
      </c>
      <c r="AP3" s="9"/>
      <c r="AR3" s="7"/>
      <c r="CF3" s="9"/>
    </row>
    <row r="4" spans="2:172" ht="18" customHeight="1" x14ac:dyDescent="0.25">
      <c r="B4" s="7"/>
      <c r="AO4" s="10" t="s">
        <v>1</v>
      </c>
      <c r="AP4" s="9"/>
      <c r="AR4" s="7"/>
      <c r="CF4" s="9"/>
      <c r="EH4" s="1"/>
      <c r="EI4" s="1"/>
      <c r="EJ4" s="1"/>
      <c r="EK4" s="1"/>
      <c r="EL4" s="1"/>
      <c r="EM4" s="1"/>
      <c r="EN4" s="1"/>
      <c r="EO4" s="1"/>
      <c r="EP4" s="1"/>
      <c r="EQ4" s="1"/>
      <c r="ER4" s="1"/>
    </row>
    <row r="5" spans="2:172" ht="18" customHeight="1" thickBot="1" x14ac:dyDescent="0.3">
      <c r="B5" s="7"/>
      <c r="AO5" s="10" t="s">
        <v>2</v>
      </c>
      <c r="AP5" s="9"/>
      <c r="AR5" s="7"/>
      <c r="AS5" s="11" t="s">
        <v>81</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EH5" s="1"/>
      <c r="EI5" s="1"/>
      <c r="EJ5" s="1"/>
      <c r="EK5" s="1"/>
      <c r="EL5" s="1"/>
      <c r="EM5" s="1"/>
      <c r="EN5" s="1"/>
      <c r="EO5" s="1"/>
      <c r="EP5" s="1"/>
      <c r="EQ5" s="1"/>
      <c r="ER5" s="1"/>
    </row>
    <row r="6" spans="2:172"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R6" s="96" t="s">
        <v>127</v>
      </c>
      <c r="CS6" s="96"/>
      <c r="CT6" s="96"/>
      <c r="EH6" s="1"/>
      <c r="EI6" s="1"/>
      <c r="EJ6" s="1"/>
      <c r="EK6" s="1"/>
      <c r="EL6" s="1"/>
      <c r="EM6" s="1"/>
      <c r="EN6" s="1"/>
      <c r="EO6" s="1"/>
      <c r="EP6" s="1"/>
      <c r="EQ6" s="1"/>
      <c r="ER6" s="1" t="s">
        <v>46</v>
      </c>
      <c r="FE6" s="80">
        <f>(S25/SQRT(3))/ES9</f>
        <v>10.007996802557443</v>
      </c>
      <c r="FF6" s="80"/>
      <c r="FG6" s="80"/>
      <c r="FH6" s="80"/>
      <c r="FI6" s="1" t="s">
        <v>56</v>
      </c>
    </row>
    <row r="7" spans="2:172" ht="18" customHeight="1" x14ac:dyDescent="0.3">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7" t="s">
        <v>34</v>
      </c>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CR7" s="96"/>
      <c r="CS7" s="96"/>
      <c r="CT7" s="96"/>
      <c r="EH7" s="1"/>
      <c r="EI7" s="1"/>
      <c r="EJ7" s="1"/>
      <c r="EK7" s="1"/>
      <c r="EL7" s="1"/>
      <c r="EM7" s="1"/>
      <c r="EN7" s="1"/>
      <c r="EO7" s="1"/>
      <c r="EP7" s="1"/>
      <c r="EQ7" s="1"/>
      <c r="ER7" s="1"/>
    </row>
    <row r="8" spans="2:172" ht="18" customHeight="1" x14ac:dyDescent="0.25">
      <c r="B8" s="7"/>
      <c r="C8" s="84" t="s">
        <v>23</v>
      </c>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9"/>
      <c r="AR8" s="7"/>
      <c r="AS8" s="76" t="s">
        <v>98</v>
      </c>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13"/>
      <c r="CF8" s="9"/>
      <c r="CR8" s="96"/>
      <c r="CS8" s="96"/>
      <c r="CT8" s="96"/>
      <c r="EH8" s="1"/>
      <c r="EI8" s="1"/>
      <c r="EJ8" s="1"/>
      <c r="EK8" s="1"/>
      <c r="EL8" s="1"/>
      <c r="EM8" s="1"/>
      <c r="EN8" s="1"/>
      <c r="EO8" s="1"/>
      <c r="EP8" s="1" t="s">
        <v>42</v>
      </c>
      <c r="EQ8" s="1"/>
      <c r="ER8" s="1"/>
      <c r="ES8" s="85">
        <f>(S25/SQRT(3))/S28</f>
        <v>0.79674337148168362</v>
      </c>
      <c r="ET8" s="85"/>
      <c r="EU8" s="85"/>
      <c r="EV8" s="85"/>
      <c r="EW8" s="1" t="s">
        <v>43</v>
      </c>
      <c r="EZ8" s="1" t="s">
        <v>47</v>
      </c>
      <c r="FD8" s="15" t="s">
        <v>14</v>
      </c>
      <c r="FE8" s="80">
        <f t="shared" ref="FE8:FE15" si="0">(($S$25*1000/SQRT(3))/((($S$29+$S$30+$AM$30+H37)/1000000)*2*PI()*$AM$25+$ES$9))/1000</f>
        <v>9.7091461471354261</v>
      </c>
      <c r="FF8" s="80"/>
      <c r="FG8" s="80"/>
      <c r="FH8" s="80"/>
      <c r="FI8" s="1" t="s">
        <v>48</v>
      </c>
    </row>
    <row r="9" spans="2:172" ht="18" customHeight="1" x14ac:dyDescent="0.25">
      <c r="B9" s="7"/>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9"/>
      <c r="AR9" s="7"/>
      <c r="AS9" s="41"/>
      <c r="AT9" s="41"/>
      <c r="AU9" s="41"/>
      <c r="AV9" s="41"/>
      <c r="AW9" s="93" t="s">
        <v>83</v>
      </c>
      <c r="AX9" s="93"/>
      <c r="AY9" s="93"/>
      <c r="AZ9" s="93"/>
      <c r="BA9" s="41"/>
      <c r="BB9" s="94" t="s">
        <v>84</v>
      </c>
      <c r="BC9" s="94"/>
      <c r="BD9" s="94"/>
      <c r="BE9" s="94"/>
      <c r="BF9" s="41"/>
      <c r="BG9" s="94" t="s">
        <v>85</v>
      </c>
      <c r="BH9" s="94"/>
      <c r="BI9" s="94"/>
      <c r="BJ9" s="94"/>
      <c r="BK9" s="41"/>
      <c r="BL9" s="94" t="s">
        <v>86</v>
      </c>
      <c r="BM9" s="94"/>
      <c r="BN9" s="94"/>
      <c r="BO9" s="94"/>
      <c r="BP9" s="46"/>
      <c r="BQ9" s="94" t="s">
        <v>87</v>
      </c>
      <c r="BR9" s="94"/>
      <c r="BS9" s="94"/>
      <c r="BT9" s="94"/>
      <c r="BU9" s="46"/>
      <c r="BV9" s="94" t="s">
        <v>88</v>
      </c>
      <c r="BW9" s="94"/>
      <c r="BX9" s="94"/>
      <c r="BY9" s="94"/>
      <c r="BZ9" s="46"/>
      <c r="CA9" s="94" t="s">
        <v>89</v>
      </c>
      <c r="CB9" s="94"/>
      <c r="CC9" s="94"/>
      <c r="CD9" s="94"/>
      <c r="CE9" s="46"/>
      <c r="CF9" s="9"/>
      <c r="CH9" s="96" t="s">
        <v>125</v>
      </c>
      <c r="CI9" s="96"/>
      <c r="CJ9" s="96"/>
      <c r="CK9" s="96"/>
      <c r="CM9" s="96" t="s">
        <v>126</v>
      </c>
      <c r="CN9" s="96"/>
      <c r="CO9" s="96"/>
      <c r="CP9" s="96"/>
      <c r="CR9" s="96"/>
      <c r="CS9" s="96"/>
      <c r="CT9" s="96"/>
      <c r="EH9" s="1"/>
      <c r="EI9" s="1"/>
      <c r="EJ9" s="1"/>
      <c r="EK9" s="1"/>
      <c r="EL9" s="1"/>
      <c r="EM9" s="1"/>
      <c r="EN9" s="1"/>
      <c r="EO9" s="1"/>
      <c r="EP9" s="1" t="s">
        <v>40</v>
      </c>
      <c r="EQ9" s="1"/>
      <c r="ER9" s="1"/>
      <c r="ES9" s="85">
        <f>SIN(ATAN(AM28))*ES8</f>
        <v>0.79610674063972908</v>
      </c>
      <c r="ET9" s="85"/>
      <c r="EU9" s="85"/>
      <c r="EV9" s="85"/>
      <c r="EW9" s="1" t="s">
        <v>43</v>
      </c>
      <c r="EZ9" s="1" t="s">
        <v>49</v>
      </c>
      <c r="FE9" s="80">
        <f t="shared" si="0"/>
        <v>9.7091461471354261</v>
      </c>
      <c r="FF9" s="80"/>
      <c r="FG9" s="80"/>
      <c r="FH9" s="80"/>
      <c r="FI9" s="1" t="s">
        <v>48</v>
      </c>
    </row>
    <row r="10" spans="2:172" ht="18" customHeight="1" x14ac:dyDescent="0.25">
      <c r="B10" s="7"/>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9"/>
      <c r="AR10" s="7"/>
      <c r="AS10" s="41"/>
      <c r="AT10" s="41"/>
      <c r="AU10" s="41"/>
      <c r="AV10" s="41"/>
      <c r="AW10" s="94"/>
      <c r="AX10" s="94"/>
      <c r="AY10" s="94"/>
      <c r="AZ10" s="94"/>
      <c r="BA10" s="41"/>
      <c r="BB10" s="94"/>
      <c r="BC10" s="94"/>
      <c r="BD10" s="94"/>
      <c r="BE10" s="94"/>
      <c r="BF10" s="41"/>
      <c r="BG10" s="94"/>
      <c r="BH10" s="94"/>
      <c r="BI10" s="94"/>
      <c r="BJ10" s="94"/>
      <c r="BK10" s="41"/>
      <c r="BL10" s="94"/>
      <c r="BM10" s="94"/>
      <c r="BN10" s="94"/>
      <c r="BO10" s="94"/>
      <c r="BP10" s="46"/>
      <c r="BQ10" s="94"/>
      <c r="BR10" s="94"/>
      <c r="BS10" s="94"/>
      <c r="BT10" s="94"/>
      <c r="BU10" s="46"/>
      <c r="BV10" s="94"/>
      <c r="BW10" s="94"/>
      <c r="BX10" s="94"/>
      <c r="BY10" s="94"/>
      <c r="BZ10" s="46"/>
      <c r="CA10" s="94"/>
      <c r="CB10" s="94"/>
      <c r="CC10" s="94"/>
      <c r="CD10" s="94"/>
      <c r="CE10" s="46"/>
      <c r="CF10" s="9"/>
      <c r="CH10" s="96"/>
      <c r="CI10" s="96"/>
      <c r="CJ10" s="96"/>
      <c r="CK10" s="96"/>
      <c r="CM10" s="96"/>
      <c r="CN10" s="96"/>
      <c r="CO10" s="96"/>
      <c r="CP10" s="96"/>
      <c r="CR10" s="96"/>
      <c r="CS10" s="96"/>
      <c r="CT10" s="96"/>
      <c r="EH10" s="1"/>
      <c r="EI10" s="1"/>
      <c r="EJ10" s="1"/>
      <c r="EK10" s="1"/>
      <c r="EL10" s="1"/>
      <c r="EM10" s="1"/>
      <c r="EN10" s="1"/>
      <c r="EO10" s="1"/>
      <c r="EP10" s="1" t="s">
        <v>41</v>
      </c>
      <c r="EQ10" s="1"/>
      <c r="ER10" s="1"/>
      <c r="ES10" s="85">
        <f>COS(ATAN(AM28))*ES8</f>
        <v>3.1844269625589089E-2</v>
      </c>
      <c r="ET10" s="85"/>
      <c r="EU10" s="85"/>
      <c r="EV10" s="85"/>
      <c r="EW10" s="1" t="s">
        <v>43</v>
      </c>
      <c r="EZ10" s="1" t="s">
        <v>50</v>
      </c>
      <c r="FE10" s="80">
        <f t="shared" si="0"/>
        <v>9.7091461471354261</v>
      </c>
      <c r="FF10" s="80"/>
      <c r="FG10" s="80"/>
      <c r="FH10" s="80"/>
      <c r="FI10" s="1" t="s">
        <v>48</v>
      </c>
    </row>
    <row r="11" spans="2:172" ht="18" customHeight="1" x14ac:dyDescent="0.25">
      <c r="B11" s="7"/>
      <c r="C11" s="14" t="s">
        <v>13</v>
      </c>
      <c r="D11" s="33"/>
      <c r="E11" s="34"/>
      <c r="F11" s="34"/>
      <c r="G11" s="34"/>
      <c r="H11" s="34"/>
      <c r="I11" s="35"/>
      <c r="J11" s="16"/>
      <c r="K11" s="16"/>
      <c r="L11" s="16"/>
      <c r="M11" s="16"/>
      <c r="N11" s="16"/>
      <c r="O11" s="16"/>
      <c r="P11" s="16"/>
      <c r="Q11" s="16"/>
      <c r="R11" s="16"/>
      <c r="S11" s="16"/>
      <c r="T11" s="16"/>
      <c r="U11" s="16"/>
      <c r="V11" s="16"/>
      <c r="W11" s="16"/>
      <c r="X11" s="16"/>
      <c r="Y11" s="16"/>
      <c r="Z11" s="16"/>
      <c r="AA11" s="16"/>
      <c r="AB11" s="16"/>
      <c r="AC11" s="16" t="s">
        <v>14</v>
      </c>
      <c r="AD11" s="16"/>
      <c r="AE11" s="16"/>
      <c r="AG11" s="36"/>
      <c r="AH11" s="36"/>
      <c r="AI11" s="36"/>
      <c r="AJ11" s="36"/>
      <c r="AK11" s="36"/>
      <c r="AL11" s="36"/>
      <c r="AM11" s="36"/>
      <c r="AN11" s="37" t="s">
        <v>15</v>
      </c>
      <c r="AO11" s="36"/>
      <c r="AP11" s="9"/>
      <c r="AR11" s="7"/>
      <c r="AS11" s="41"/>
      <c r="AT11" s="41"/>
      <c r="AU11" s="41"/>
      <c r="AV11" s="41"/>
      <c r="AW11" s="94"/>
      <c r="AX11" s="94"/>
      <c r="AY11" s="94"/>
      <c r="AZ11" s="94"/>
      <c r="BA11" s="41"/>
      <c r="BB11" s="94"/>
      <c r="BC11" s="94"/>
      <c r="BD11" s="94"/>
      <c r="BE11" s="94"/>
      <c r="BF11" s="41"/>
      <c r="BG11" s="94"/>
      <c r="BH11" s="94"/>
      <c r="BI11" s="94"/>
      <c r="BJ11" s="94"/>
      <c r="BK11" s="41"/>
      <c r="BL11" s="94"/>
      <c r="BM11" s="94"/>
      <c r="BN11" s="94"/>
      <c r="BO11" s="94"/>
      <c r="BP11" s="46"/>
      <c r="BQ11" s="94"/>
      <c r="BR11" s="94"/>
      <c r="BS11" s="94"/>
      <c r="BT11" s="94"/>
      <c r="BU11" s="46"/>
      <c r="BV11" s="94"/>
      <c r="BW11" s="94"/>
      <c r="BX11" s="94"/>
      <c r="BY11" s="94"/>
      <c r="BZ11" s="46"/>
      <c r="CA11" s="94"/>
      <c r="CB11" s="94"/>
      <c r="CC11" s="94"/>
      <c r="CD11" s="94"/>
      <c r="CE11" s="46"/>
      <c r="CF11" s="9"/>
      <c r="CH11" s="96"/>
      <c r="CI11" s="96"/>
      <c r="CJ11" s="96"/>
      <c r="CK11" s="96"/>
      <c r="CM11" s="96"/>
      <c r="CN11" s="96"/>
      <c r="CO11" s="96"/>
      <c r="CP11" s="96"/>
      <c r="CR11" s="96"/>
      <c r="CS11" s="96"/>
      <c r="CT11" s="96"/>
      <c r="EH11" s="1"/>
      <c r="EI11" s="1"/>
      <c r="EJ11" s="1"/>
      <c r="EK11" s="1"/>
      <c r="EL11" s="1"/>
      <c r="EM11" s="1"/>
      <c r="EN11" s="1"/>
      <c r="EO11" s="1"/>
      <c r="EP11" s="1" t="s">
        <v>44</v>
      </c>
      <c r="EQ11" s="1"/>
      <c r="ER11" s="1"/>
      <c r="ES11" s="80">
        <f>(ES9/(2*PI()*AM25))*1000000</f>
        <v>2111.738716693173</v>
      </c>
      <c r="ET11" s="80"/>
      <c r="EU11" s="80"/>
      <c r="EV11" s="80"/>
      <c r="EW11" s="1" t="s">
        <v>45</v>
      </c>
      <c r="EZ11" s="1" t="s">
        <v>51</v>
      </c>
      <c r="FE11" s="80">
        <f t="shared" si="0"/>
        <v>9.7091461471354261</v>
      </c>
      <c r="FF11" s="80"/>
      <c r="FG11" s="80"/>
      <c r="FH11" s="80"/>
      <c r="FI11" s="1" t="s">
        <v>48</v>
      </c>
      <c r="FP11" s="1" t="s">
        <v>57</v>
      </c>
    </row>
    <row r="12" spans="2:172" ht="18" customHeight="1" x14ac:dyDescent="0.25">
      <c r="B12" s="7"/>
      <c r="AP12" s="9"/>
      <c r="AR12" s="7"/>
      <c r="AS12" s="86" t="s">
        <v>82</v>
      </c>
      <c r="AT12" s="86"/>
      <c r="AU12" s="86"/>
      <c r="AV12" s="41"/>
      <c r="AW12" s="95"/>
      <c r="AX12" s="95"/>
      <c r="AY12" s="95"/>
      <c r="AZ12" s="95"/>
      <c r="BA12" s="41"/>
      <c r="BB12" s="94"/>
      <c r="BC12" s="94"/>
      <c r="BD12" s="94"/>
      <c r="BE12" s="94"/>
      <c r="BF12" s="41"/>
      <c r="BG12" s="94"/>
      <c r="BH12" s="94"/>
      <c r="BI12" s="94"/>
      <c r="BJ12" s="94"/>
      <c r="BK12" s="41"/>
      <c r="BL12" s="94"/>
      <c r="BM12" s="94"/>
      <c r="BN12" s="94"/>
      <c r="BO12" s="94"/>
      <c r="BP12" s="46"/>
      <c r="BQ12" s="94"/>
      <c r="BR12" s="94"/>
      <c r="BS12" s="94"/>
      <c r="BT12" s="94"/>
      <c r="BU12" s="46"/>
      <c r="BV12" s="94"/>
      <c r="BW12" s="94"/>
      <c r="BX12" s="94"/>
      <c r="BY12" s="94"/>
      <c r="BZ12" s="46"/>
      <c r="CA12" s="94"/>
      <c r="CB12" s="94"/>
      <c r="CC12" s="94"/>
      <c r="CD12" s="94"/>
      <c r="CE12" s="46"/>
      <c r="CF12" s="9"/>
      <c r="CH12" s="96"/>
      <c r="CI12" s="96"/>
      <c r="CJ12" s="96"/>
      <c r="CK12" s="96"/>
      <c r="CM12" s="96"/>
      <c r="CN12" s="96"/>
      <c r="CO12" s="96"/>
      <c r="CP12" s="96"/>
      <c r="CR12" s="96"/>
      <c r="CS12" s="96"/>
      <c r="CT12" s="96"/>
      <c r="EH12" s="1"/>
      <c r="EI12" s="1"/>
      <c r="EJ12" s="1"/>
      <c r="EK12" s="1"/>
      <c r="EL12" s="1"/>
      <c r="EM12" s="1"/>
      <c r="EN12" s="1"/>
      <c r="EO12" s="1"/>
      <c r="EP12" s="1"/>
      <c r="EQ12" s="1"/>
      <c r="ER12" s="1"/>
      <c r="EZ12" s="1" t="s">
        <v>52</v>
      </c>
      <c r="FE12" s="80">
        <f t="shared" si="0"/>
        <v>9.890902504546526</v>
      </c>
      <c r="FF12" s="80"/>
      <c r="FG12" s="80"/>
      <c r="FH12" s="80"/>
      <c r="FI12" s="1" t="s">
        <v>48</v>
      </c>
      <c r="FP12" s="1" t="s">
        <v>58</v>
      </c>
    </row>
    <row r="13" spans="2:172" ht="18" customHeight="1" x14ac:dyDescent="0.25">
      <c r="B13" s="7"/>
      <c r="C13" s="16"/>
      <c r="D13" s="16"/>
      <c r="E13" s="16"/>
      <c r="F13" s="16"/>
      <c r="G13" s="10" t="s">
        <v>16</v>
      </c>
      <c r="H13" s="99" t="s">
        <v>146</v>
      </c>
      <c r="I13" s="99"/>
      <c r="J13" s="99"/>
      <c r="K13" s="99"/>
      <c r="L13" s="99"/>
      <c r="M13" s="99"/>
      <c r="N13" s="99"/>
      <c r="O13" s="99"/>
      <c r="P13" s="99"/>
      <c r="Q13" s="99"/>
      <c r="R13" s="99"/>
      <c r="S13" s="99"/>
      <c r="T13" s="99"/>
      <c r="U13" s="99"/>
      <c r="V13" s="99"/>
      <c r="W13" s="99"/>
      <c r="X13" s="16"/>
      <c r="Y13" s="16"/>
      <c r="Z13" s="16"/>
      <c r="AA13" s="16"/>
      <c r="AD13" s="10" t="s">
        <v>17</v>
      </c>
      <c r="AE13" s="100" t="s">
        <v>18</v>
      </c>
      <c r="AF13" s="100"/>
      <c r="AG13" s="100"/>
      <c r="AH13" s="100"/>
      <c r="AI13" s="100"/>
      <c r="AJ13" s="100"/>
      <c r="AK13" s="100"/>
      <c r="AL13" s="100"/>
      <c r="AM13" s="100"/>
      <c r="AN13" s="100"/>
      <c r="AO13" s="16"/>
      <c r="AP13" s="9"/>
      <c r="AR13" s="7"/>
      <c r="AS13" s="87">
        <v>1</v>
      </c>
      <c r="AT13" s="87"/>
      <c r="AU13" s="87"/>
      <c r="AV13" s="41"/>
      <c r="AW13" s="122">
        <f t="shared" ref="AW13:AW20" si="1">IF(E37=0,"n/a",E37/(1.73*$S$25))</f>
        <v>41.886571165284408</v>
      </c>
      <c r="AX13" s="122"/>
      <c r="AY13" s="122"/>
      <c r="AZ13" s="122"/>
      <c r="BA13" s="41"/>
      <c r="BB13" s="108">
        <f t="shared" ref="BB13:BB20" si="2">IF(E37=0,"n/a",((1+$AM$26)*(1+$S$26))*AW13)</f>
        <v>47.457485130267244</v>
      </c>
      <c r="BC13" s="108"/>
      <c r="BD13" s="108"/>
      <c r="BE13" s="108"/>
      <c r="BF13" s="41"/>
      <c r="BG13" s="109">
        <f>IF(E37=0,"n/a",SQRT(2)*SQRT(FE$8*1000*BB13))</f>
        <v>959.97047757237942</v>
      </c>
      <c r="BH13" s="109"/>
      <c r="BI13" s="109"/>
      <c r="BJ13" s="109"/>
      <c r="BK13" s="41"/>
      <c r="BL13" s="89">
        <f>IF(E37=0,"n/a",$AM$25*SQRT(FE8*1000/BB13))</f>
        <v>858.20177689617344</v>
      </c>
      <c r="BM13" s="89"/>
      <c r="BN13" s="89"/>
      <c r="BO13" s="89"/>
      <c r="BP13" s="41"/>
      <c r="BQ13" s="89" t="s">
        <v>75</v>
      </c>
      <c r="BR13" s="89"/>
      <c r="BS13" s="89"/>
      <c r="BT13" s="89"/>
      <c r="BU13" s="41"/>
      <c r="BV13" s="123" t="s">
        <v>75</v>
      </c>
      <c r="BW13" s="123"/>
      <c r="BX13" s="123"/>
      <c r="BY13" s="123"/>
      <c r="BZ13" s="41"/>
      <c r="CA13" s="89">
        <f>BG13*BL13/1000</f>
        <v>823.84836962048416</v>
      </c>
      <c r="CB13" s="89"/>
      <c r="CC13" s="89"/>
      <c r="CD13" s="89"/>
      <c r="CE13" s="41"/>
      <c r="CF13" s="9"/>
      <c r="CH13" s="136">
        <f>MAX(BG13,BQ13,BG27,BQ27)</f>
        <v>5856.4717119521847</v>
      </c>
      <c r="CI13" s="136"/>
      <c r="CJ13" s="136"/>
      <c r="CK13" s="136"/>
      <c r="CM13" s="81">
        <f>MAX(CA13,CA27)</f>
        <v>33566.120689655167</v>
      </c>
      <c r="CN13" s="80"/>
      <c r="CO13" s="80"/>
      <c r="CP13" s="80"/>
      <c r="CR13" s="81">
        <f>MAX(CA13,CA27)</f>
        <v>33566.120689655167</v>
      </c>
      <c r="CS13" s="80"/>
      <c r="CT13" s="80"/>
      <c r="EH13" s="1"/>
      <c r="EI13" s="1"/>
      <c r="EJ13" s="1"/>
      <c r="EK13" s="1"/>
      <c r="EL13" s="1"/>
      <c r="EM13" s="1"/>
      <c r="EN13" s="1"/>
      <c r="EO13" s="1"/>
      <c r="EP13" s="1"/>
      <c r="EQ13" s="1"/>
      <c r="ER13" s="1"/>
      <c r="EZ13" s="1" t="s">
        <v>53</v>
      </c>
      <c r="FE13" s="80">
        <f t="shared" si="0"/>
        <v>9.890902504546526</v>
      </c>
      <c r="FF13" s="80"/>
      <c r="FG13" s="80"/>
      <c r="FH13" s="80"/>
      <c r="FI13" s="1" t="s">
        <v>48</v>
      </c>
      <c r="FP13" s="1" t="s">
        <v>59</v>
      </c>
    </row>
    <row r="14" spans="2:172" ht="18" customHeight="1" x14ac:dyDescent="0.25">
      <c r="B14" s="7"/>
      <c r="C14" s="16"/>
      <c r="D14" s="16"/>
      <c r="E14" s="16"/>
      <c r="F14" s="16"/>
      <c r="G14" s="10" t="s">
        <v>22</v>
      </c>
      <c r="H14" s="99" t="s">
        <v>20</v>
      </c>
      <c r="I14" s="99"/>
      <c r="J14" s="99"/>
      <c r="K14" s="99"/>
      <c r="L14" s="99"/>
      <c r="M14" s="99"/>
      <c r="N14" s="99"/>
      <c r="O14" s="99"/>
      <c r="P14" s="99"/>
      <c r="Q14" s="99"/>
      <c r="R14" s="99"/>
      <c r="S14" s="99"/>
      <c r="T14" s="99"/>
      <c r="U14" s="99"/>
      <c r="V14" s="99"/>
      <c r="W14" s="99"/>
      <c r="X14" s="16"/>
      <c r="Y14" s="16"/>
      <c r="Z14" s="16"/>
      <c r="AA14" s="16"/>
      <c r="AB14" s="16"/>
      <c r="AD14" s="10" t="s">
        <v>19</v>
      </c>
      <c r="AE14" s="101" t="s">
        <v>21</v>
      </c>
      <c r="AF14" s="102"/>
      <c r="AG14" s="102"/>
      <c r="AH14" s="102"/>
      <c r="AI14" s="102"/>
      <c r="AJ14" s="102"/>
      <c r="AK14" s="102"/>
      <c r="AL14" s="102"/>
      <c r="AM14" s="102"/>
      <c r="AN14" s="103"/>
      <c r="AO14" s="16"/>
      <c r="AP14" s="9"/>
      <c r="AR14" s="7"/>
      <c r="AS14" s="77">
        <v>2</v>
      </c>
      <c r="AT14" s="77"/>
      <c r="AU14" s="77"/>
      <c r="AV14" s="41"/>
      <c r="AW14" s="78">
        <f t="shared" si="1"/>
        <v>83.773142330568817</v>
      </c>
      <c r="AX14" s="78"/>
      <c r="AY14" s="78"/>
      <c r="AZ14" s="78"/>
      <c r="BA14" s="41"/>
      <c r="BB14" s="78">
        <f t="shared" si="2"/>
        <v>94.914970260534488</v>
      </c>
      <c r="BC14" s="78"/>
      <c r="BD14" s="78"/>
      <c r="BE14" s="78"/>
      <c r="BF14" s="41"/>
      <c r="BG14" s="73" t="s">
        <v>75</v>
      </c>
      <c r="BH14" s="73"/>
      <c r="BI14" s="73"/>
      <c r="BJ14" s="73"/>
      <c r="BK14" s="41"/>
      <c r="BL14" s="74" t="s">
        <v>75</v>
      </c>
      <c r="BM14" s="74"/>
      <c r="BN14" s="74"/>
      <c r="BO14" s="74"/>
      <c r="BP14" s="41"/>
      <c r="BQ14" s="74">
        <f t="shared" ref="BQ14:BQ20" si="3">IF(E38=0,"n/a",13500*SQRT(($S$25*(1+$S$26)*FD22*FI22)/($AM$25*EX22*(FD22+FI22))))</f>
        <v>4094.8795670357645</v>
      </c>
      <c r="BR14" s="74"/>
      <c r="BS14" s="74"/>
      <c r="BT14" s="74"/>
      <c r="BU14" s="41"/>
      <c r="BV14" s="75">
        <f t="shared" ref="BV14:BV20" si="4">IF(E38=0,"n/a",9.5*SQRT(($AM$25*$S$25*(1+$S$26)*(FD22+FI22))/(EX22*FD22*FI22)))</f>
        <v>5.4647306292580904</v>
      </c>
      <c r="BW14" s="75"/>
      <c r="BX14" s="75"/>
      <c r="BY14" s="75"/>
      <c r="BZ14" s="41"/>
      <c r="CA14" s="74">
        <f t="shared" ref="CA14:CA20" si="5">IF(E38=0,"n/a",BV14*BQ14)</f>
        <v>22377.413793103449</v>
      </c>
      <c r="CB14" s="74"/>
      <c r="CC14" s="74"/>
      <c r="CD14" s="74"/>
      <c r="CE14" s="41"/>
      <c r="CF14" s="9"/>
      <c r="CH14" s="136">
        <f t="shared" ref="CH14:CH20" si="6">MAX(BG14,BQ14,BG28,BQ28)</f>
        <v>7857.2813137377916</v>
      </c>
      <c r="CI14" s="136"/>
      <c r="CJ14" s="136"/>
      <c r="CK14" s="136"/>
      <c r="CM14" s="81">
        <f t="shared" ref="CM14:CM20" si="7">MAX(CA14,CA28)</f>
        <v>33566.120689655167</v>
      </c>
      <c r="CN14" s="80"/>
      <c r="CO14" s="80"/>
      <c r="CP14" s="80"/>
      <c r="CR14" s="81">
        <f t="shared" ref="CR14:CR20" si="8">MAX(CA14,CA28)</f>
        <v>33566.120689655167</v>
      </c>
      <c r="CS14" s="80"/>
      <c r="CT14" s="80"/>
      <c r="EH14" s="1"/>
      <c r="EI14" s="1"/>
      <c r="EJ14" s="1"/>
      <c r="EK14" s="1"/>
      <c r="EL14" s="1"/>
      <c r="EM14" s="1"/>
      <c r="EN14" s="1"/>
      <c r="EO14" s="1"/>
      <c r="EP14" s="1"/>
      <c r="EQ14" s="1"/>
      <c r="ER14" s="1"/>
      <c r="EZ14" s="1" t="s">
        <v>54</v>
      </c>
      <c r="FE14" s="80">
        <f t="shared" si="0"/>
        <v>9.890902504546526</v>
      </c>
      <c r="FF14" s="80"/>
      <c r="FG14" s="80"/>
      <c r="FH14" s="80"/>
      <c r="FI14" s="1" t="s">
        <v>48</v>
      </c>
      <c r="FP14" s="1" t="s">
        <v>60</v>
      </c>
    </row>
    <row r="15" spans="2:172" ht="18" customHeight="1" x14ac:dyDescent="0.25">
      <c r="B15" s="7"/>
      <c r="C15" s="16"/>
      <c r="D15" s="16"/>
      <c r="E15" s="16"/>
      <c r="F15" s="16"/>
      <c r="G15" s="16"/>
      <c r="H15" s="16"/>
      <c r="I15" s="16"/>
      <c r="J15" s="16"/>
      <c r="K15" s="16"/>
      <c r="L15" s="16"/>
      <c r="M15" s="16"/>
      <c r="N15" s="16"/>
      <c r="O15" s="16"/>
      <c r="P15" s="16"/>
      <c r="R15" s="16"/>
      <c r="S15" s="16"/>
      <c r="T15" s="16"/>
      <c r="U15" s="16"/>
      <c r="V15" s="16"/>
      <c r="W15" s="16"/>
      <c r="X15" s="16"/>
      <c r="Y15" s="16"/>
      <c r="Z15" s="16"/>
      <c r="AA15" s="16"/>
      <c r="AB15" s="16"/>
      <c r="AC15" s="16" t="s">
        <v>14</v>
      </c>
      <c r="AD15" s="16"/>
      <c r="AE15" s="16"/>
      <c r="AF15" s="16"/>
      <c r="AG15" s="16"/>
      <c r="AH15" s="16"/>
      <c r="AI15" s="16"/>
      <c r="AJ15" s="16"/>
      <c r="AK15" s="16"/>
      <c r="AL15" s="16"/>
      <c r="AM15" s="16"/>
      <c r="AN15" s="16"/>
      <c r="AO15" s="16"/>
      <c r="AP15" s="9"/>
      <c r="AR15" s="7"/>
      <c r="AS15" s="77">
        <v>3</v>
      </c>
      <c r="AT15" s="77"/>
      <c r="AU15" s="77"/>
      <c r="AV15" s="41"/>
      <c r="AW15" s="78">
        <f t="shared" si="1"/>
        <v>167.54628466113763</v>
      </c>
      <c r="AX15" s="78"/>
      <c r="AY15" s="78"/>
      <c r="AZ15" s="78"/>
      <c r="BA15" s="41"/>
      <c r="BB15" s="78">
        <f t="shared" si="2"/>
        <v>189.82994052106898</v>
      </c>
      <c r="BC15" s="78"/>
      <c r="BD15" s="78"/>
      <c r="BE15" s="78"/>
      <c r="BF15" s="41"/>
      <c r="BG15" s="73" t="s">
        <v>75</v>
      </c>
      <c r="BH15" s="73"/>
      <c r="BI15" s="73"/>
      <c r="BJ15" s="73"/>
      <c r="BK15" s="41"/>
      <c r="BL15" s="74" t="s">
        <v>75</v>
      </c>
      <c r="BM15" s="74"/>
      <c r="BN15" s="74"/>
      <c r="BO15" s="74"/>
      <c r="BP15" s="41"/>
      <c r="BQ15" s="73">
        <f t="shared" si="3"/>
        <v>7582.2436186192681</v>
      </c>
      <c r="BR15" s="73"/>
      <c r="BS15" s="73"/>
      <c r="BT15" s="73"/>
      <c r="BU15" s="41"/>
      <c r="BV15" s="75">
        <f t="shared" si="4"/>
        <v>3.9350557994298776</v>
      </c>
      <c r="BW15" s="75"/>
      <c r="BX15" s="75"/>
      <c r="BY15" s="75"/>
      <c r="BZ15" s="41"/>
      <c r="CA15" s="74">
        <f t="shared" si="5"/>
        <v>29836.551724137931</v>
      </c>
      <c r="CB15" s="74"/>
      <c r="CC15" s="74"/>
      <c r="CD15" s="74"/>
      <c r="CE15" s="41"/>
      <c r="CF15" s="9"/>
      <c r="CH15" s="136">
        <f t="shared" si="6"/>
        <v>9799.7515558359573</v>
      </c>
      <c r="CI15" s="136"/>
      <c r="CJ15" s="136"/>
      <c r="CK15" s="136"/>
      <c r="CM15" s="81">
        <f t="shared" si="7"/>
        <v>33566.120689655174</v>
      </c>
      <c r="CN15" s="80"/>
      <c r="CO15" s="80"/>
      <c r="CP15" s="80"/>
      <c r="CR15" s="81">
        <f t="shared" si="8"/>
        <v>33566.120689655174</v>
      </c>
      <c r="CS15" s="80"/>
      <c r="CT15" s="80"/>
      <c r="EH15" s="1"/>
      <c r="EI15" s="1"/>
      <c r="EJ15" s="1"/>
      <c r="EK15" s="1"/>
      <c r="EL15" s="1"/>
      <c r="EM15" s="1"/>
      <c r="EN15" s="1"/>
      <c r="EO15" s="1"/>
      <c r="EP15" s="1"/>
      <c r="EQ15" s="1"/>
      <c r="ER15" s="1"/>
      <c r="EZ15" s="1" t="s">
        <v>55</v>
      </c>
      <c r="FE15" s="80">
        <f t="shared" si="0"/>
        <v>9.890902504546526</v>
      </c>
      <c r="FF15" s="80"/>
      <c r="FG15" s="80"/>
      <c r="FH15" s="80"/>
      <c r="FI15" s="1" t="s">
        <v>48</v>
      </c>
    </row>
    <row r="16" spans="2:172" ht="18" customHeight="1" x14ac:dyDescent="0.3">
      <c r="B16" s="7"/>
      <c r="C16" s="17" t="s">
        <v>24</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9"/>
      <c r="AR16" s="7"/>
      <c r="AS16" s="77">
        <v>4</v>
      </c>
      <c r="AT16" s="77"/>
      <c r="AU16" s="77"/>
      <c r="AV16" s="41"/>
      <c r="AW16" s="78">
        <f t="shared" si="1"/>
        <v>167.54628466113763</v>
      </c>
      <c r="AX16" s="78"/>
      <c r="AY16" s="78"/>
      <c r="AZ16" s="78"/>
      <c r="BA16" s="41"/>
      <c r="BB16" s="78">
        <f t="shared" si="2"/>
        <v>189.82994052106898</v>
      </c>
      <c r="BC16" s="78"/>
      <c r="BD16" s="78"/>
      <c r="BE16" s="78"/>
      <c r="BF16" s="41"/>
      <c r="BG16" s="73" t="s">
        <v>75</v>
      </c>
      <c r="BH16" s="73"/>
      <c r="BI16" s="73"/>
      <c r="BJ16" s="73"/>
      <c r="BK16" s="41"/>
      <c r="BL16" s="74" t="s">
        <v>75</v>
      </c>
      <c r="BM16" s="74"/>
      <c r="BN16" s="74"/>
      <c r="BO16" s="74"/>
      <c r="BP16" s="41"/>
      <c r="BQ16" s="73">
        <f t="shared" si="3"/>
        <v>9799.7515558359573</v>
      </c>
      <c r="BR16" s="73"/>
      <c r="BS16" s="73"/>
      <c r="BT16" s="73"/>
      <c r="BU16" s="41"/>
      <c r="BV16" s="75">
        <f t="shared" si="4"/>
        <v>3.4252011898879058</v>
      </c>
      <c r="BW16" s="75"/>
      <c r="BX16" s="75"/>
      <c r="BY16" s="75"/>
      <c r="BZ16" s="41"/>
      <c r="CA16" s="74">
        <f t="shared" si="5"/>
        <v>33566.120689655174</v>
      </c>
      <c r="CB16" s="74"/>
      <c r="CC16" s="74"/>
      <c r="CD16" s="74"/>
      <c r="CE16" s="41"/>
      <c r="CF16" s="9"/>
      <c r="CH16" s="136">
        <f t="shared" si="6"/>
        <v>9799.7515558359573</v>
      </c>
      <c r="CI16" s="136"/>
      <c r="CJ16" s="136"/>
      <c r="CK16" s="136"/>
      <c r="CM16" s="81">
        <f t="shared" si="7"/>
        <v>33566.120689655174</v>
      </c>
      <c r="CN16" s="80"/>
      <c r="CO16" s="80"/>
      <c r="CP16" s="80"/>
      <c r="CR16" s="81">
        <f t="shared" si="8"/>
        <v>33566.120689655174</v>
      </c>
      <c r="CS16" s="80"/>
      <c r="CT16" s="80"/>
      <c r="EH16" s="1"/>
      <c r="EI16" s="1"/>
      <c r="EJ16" s="1"/>
      <c r="EK16" s="1"/>
      <c r="EL16" s="1"/>
      <c r="EM16" s="1"/>
      <c r="EN16" s="1"/>
      <c r="EO16" s="1"/>
      <c r="EP16" s="1"/>
      <c r="EQ16" s="1"/>
      <c r="ER16" s="1"/>
      <c r="FE16" s="1" t="s">
        <v>14</v>
      </c>
    </row>
    <row r="17" spans="2:186" ht="18" customHeight="1" x14ac:dyDescent="0.25">
      <c r="B17" s="7"/>
      <c r="D17" s="38"/>
      <c r="E17" s="38"/>
      <c r="F17" s="38"/>
      <c r="G17" s="38"/>
      <c r="H17" s="38"/>
      <c r="I17" s="38"/>
      <c r="J17" s="38"/>
      <c r="K17" s="38"/>
      <c r="AP17" s="9"/>
      <c r="AR17" s="7"/>
      <c r="AS17" s="77">
        <v>5</v>
      </c>
      <c r="AT17" s="77"/>
      <c r="AU17" s="77"/>
      <c r="AV17" s="41"/>
      <c r="AW17" s="78" t="str">
        <f t="shared" si="1"/>
        <v>n/a</v>
      </c>
      <c r="AX17" s="78"/>
      <c r="AY17" s="78"/>
      <c r="AZ17" s="78"/>
      <c r="BA17" s="41"/>
      <c r="BB17" s="78" t="str">
        <f t="shared" si="2"/>
        <v>n/a</v>
      </c>
      <c r="BC17" s="78"/>
      <c r="BD17" s="78"/>
      <c r="BE17" s="78"/>
      <c r="BF17" s="41"/>
      <c r="BG17" s="73" t="s">
        <v>75</v>
      </c>
      <c r="BH17" s="73"/>
      <c r="BI17" s="73"/>
      <c r="BJ17" s="73"/>
      <c r="BK17" s="41"/>
      <c r="BL17" s="74" t="s">
        <v>75</v>
      </c>
      <c r="BM17" s="74"/>
      <c r="BN17" s="74"/>
      <c r="BO17" s="74"/>
      <c r="BP17" s="41"/>
      <c r="BQ17" s="73" t="str">
        <f t="shared" si="3"/>
        <v>n/a</v>
      </c>
      <c r="BR17" s="73"/>
      <c r="BS17" s="73"/>
      <c r="BT17" s="73"/>
      <c r="BU17" s="41"/>
      <c r="BV17" s="75" t="str">
        <f t="shared" si="4"/>
        <v>n/a</v>
      </c>
      <c r="BW17" s="75"/>
      <c r="BX17" s="75"/>
      <c r="BY17" s="75"/>
      <c r="BZ17" s="41"/>
      <c r="CA17" s="74" t="str">
        <f t="shared" si="5"/>
        <v>n/a</v>
      </c>
      <c r="CB17" s="74"/>
      <c r="CC17" s="74"/>
      <c r="CD17" s="74"/>
      <c r="CE17" s="41"/>
      <c r="CF17" s="9"/>
      <c r="CH17" s="136">
        <f t="shared" si="6"/>
        <v>0</v>
      </c>
      <c r="CI17" s="136"/>
      <c r="CJ17" s="136"/>
      <c r="CK17" s="136"/>
      <c r="CM17" s="81">
        <f t="shared" si="7"/>
        <v>0</v>
      </c>
      <c r="CN17" s="80"/>
      <c r="CO17" s="80"/>
      <c r="CP17" s="80"/>
      <c r="CR17" s="81">
        <f t="shared" si="8"/>
        <v>0</v>
      </c>
      <c r="CS17" s="80"/>
      <c r="CT17" s="80"/>
      <c r="EH17" s="1"/>
      <c r="EI17" s="97" t="s">
        <v>95</v>
      </c>
      <c r="EJ17" s="97"/>
      <c r="EK17" s="97"/>
      <c r="EL17" s="97"/>
      <c r="EM17" s="97"/>
      <c r="EN17" s="97"/>
      <c r="EO17" s="97"/>
      <c r="EP17" s="97"/>
      <c r="EQ17" s="97"/>
      <c r="ER17" s="97"/>
      <c r="ES17" s="97"/>
      <c r="ET17" s="97"/>
      <c r="EU17" s="97"/>
      <c r="EV17" s="97"/>
      <c r="EW17" s="97"/>
      <c r="EX17" s="97"/>
      <c r="EY17" s="97"/>
      <c r="EZ17" s="97"/>
      <c r="FA17" s="97"/>
      <c r="FB17" s="97"/>
      <c r="FC17" s="97"/>
      <c r="FD17" s="97"/>
      <c r="FE17" s="97"/>
      <c r="FF17" s="97"/>
      <c r="FG17" s="97"/>
      <c r="FH17" s="97"/>
      <c r="FI17" s="97"/>
      <c r="FJ17" s="97"/>
      <c r="FK17" s="97"/>
      <c r="FL17" s="97"/>
      <c r="FM17" s="97"/>
      <c r="FV17" s="2"/>
      <c r="FW17" s="2"/>
      <c r="FX17" s="2"/>
      <c r="GA17" s="3"/>
      <c r="GB17" s="3"/>
      <c r="GC17" s="3"/>
      <c r="GD17" s="3"/>
    </row>
    <row r="18" spans="2:186" ht="18" customHeight="1" x14ac:dyDescent="0.25">
      <c r="B18" s="7"/>
      <c r="C18" s="39"/>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9"/>
      <c r="AR18" s="7"/>
      <c r="AS18" s="77">
        <v>6</v>
      </c>
      <c r="AT18" s="77"/>
      <c r="AU18" s="77"/>
      <c r="AV18" s="41"/>
      <c r="AW18" s="78" t="str">
        <f t="shared" si="1"/>
        <v>n/a</v>
      </c>
      <c r="AX18" s="78"/>
      <c r="AY18" s="78"/>
      <c r="AZ18" s="78"/>
      <c r="BA18" s="41"/>
      <c r="BB18" s="78" t="str">
        <f t="shared" si="2"/>
        <v>n/a</v>
      </c>
      <c r="BC18" s="78"/>
      <c r="BD18" s="78"/>
      <c r="BE18" s="78"/>
      <c r="BF18" s="41"/>
      <c r="BG18" s="73" t="s">
        <v>75</v>
      </c>
      <c r="BH18" s="73"/>
      <c r="BI18" s="73"/>
      <c r="BJ18" s="73"/>
      <c r="BK18" s="41"/>
      <c r="BL18" s="74" t="s">
        <v>75</v>
      </c>
      <c r="BM18" s="74"/>
      <c r="BN18" s="74"/>
      <c r="BO18" s="74"/>
      <c r="BP18" s="41"/>
      <c r="BQ18" s="73" t="str">
        <f t="shared" si="3"/>
        <v>n/a</v>
      </c>
      <c r="BR18" s="73"/>
      <c r="BS18" s="73"/>
      <c r="BT18" s="73"/>
      <c r="BU18" s="41"/>
      <c r="BV18" s="75" t="str">
        <f t="shared" si="4"/>
        <v>n/a</v>
      </c>
      <c r="BW18" s="75"/>
      <c r="BX18" s="75"/>
      <c r="BY18" s="75"/>
      <c r="BZ18" s="41"/>
      <c r="CA18" s="74" t="str">
        <f t="shared" si="5"/>
        <v>n/a</v>
      </c>
      <c r="CB18" s="74"/>
      <c r="CC18" s="74"/>
      <c r="CD18" s="74"/>
      <c r="CE18" s="41"/>
      <c r="CF18" s="9"/>
      <c r="CH18" s="136">
        <f t="shared" si="6"/>
        <v>0</v>
      </c>
      <c r="CI18" s="136"/>
      <c r="CJ18" s="136"/>
      <c r="CK18" s="136"/>
      <c r="CM18" s="81">
        <f t="shared" si="7"/>
        <v>0</v>
      </c>
      <c r="CN18" s="80"/>
      <c r="CO18" s="80"/>
      <c r="CP18" s="80"/>
      <c r="CR18" s="81">
        <f t="shared" si="8"/>
        <v>0</v>
      </c>
      <c r="CS18" s="80"/>
      <c r="CT18" s="80"/>
      <c r="EH18" s="1"/>
      <c r="EI18" s="50"/>
      <c r="EJ18" s="50"/>
      <c r="EK18" s="50"/>
      <c r="EL18" s="98" t="s">
        <v>71</v>
      </c>
      <c r="EM18" s="98"/>
      <c r="EN18" s="98"/>
      <c r="EO18" s="98"/>
      <c r="EP18" s="98"/>
      <c r="EQ18" s="98"/>
      <c r="ER18" s="98" t="s">
        <v>76</v>
      </c>
      <c r="ES18" s="98"/>
      <c r="ET18" s="98"/>
      <c r="EU18" s="98"/>
      <c r="EV18" s="98"/>
      <c r="EW18" s="98"/>
      <c r="EX18" s="83" t="s">
        <v>70</v>
      </c>
      <c r="EY18" s="83"/>
      <c r="EZ18" s="83"/>
      <c r="FA18" s="83"/>
      <c r="FB18" s="83"/>
      <c r="FC18" s="83"/>
      <c r="FD18" s="98" t="s">
        <v>73</v>
      </c>
      <c r="FE18" s="98"/>
      <c r="FF18" s="98"/>
      <c r="FG18" s="98"/>
      <c r="FH18" s="98"/>
      <c r="FI18" s="98" t="s">
        <v>74</v>
      </c>
      <c r="FJ18" s="98"/>
      <c r="FK18" s="98"/>
      <c r="FL18" s="98"/>
      <c r="FM18" s="98"/>
      <c r="FV18" s="2"/>
      <c r="FW18" s="2"/>
      <c r="FX18" s="2"/>
      <c r="GA18" s="3"/>
      <c r="GB18" s="3"/>
      <c r="GC18" s="3"/>
      <c r="GD18" s="3"/>
    </row>
    <row r="19" spans="2:186" ht="18" customHeight="1" x14ac:dyDescent="0.25">
      <c r="B19" s="7"/>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9"/>
      <c r="AR19" s="7"/>
      <c r="AS19" s="77">
        <v>7</v>
      </c>
      <c r="AT19" s="77"/>
      <c r="AU19" s="77"/>
      <c r="AV19" s="41"/>
      <c r="AW19" s="78" t="str">
        <f t="shared" si="1"/>
        <v>n/a</v>
      </c>
      <c r="AX19" s="78"/>
      <c r="AY19" s="78"/>
      <c r="AZ19" s="78"/>
      <c r="BA19" s="41"/>
      <c r="BB19" s="78" t="str">
        <f t="shared" si="2"/>
        <v>n/a</v>
      </c>
      <c r="BC19" s="78"/>
      <c r="BD19" s="78"/>
      <c r="BE19" s="78"/>
      <c r="BF19" s="41"/>
      <c r="BG19" s="73" t="s">
        <v>75</v>
      </c>
      <c r="BH19" s="73"/>
      <c r="BI19" s="73"/>
      <c r="BJ19" s="73"/>
      <c r="BK19" s="41"/>
      <c r="BL19" s="74" t="s">
        <v>75</v>
      </c>
      <c r="BM19" s="74"/>
      <c r="BN19" s="74"/>
      <c r="BO19" s="74"/>
      <c r="BP19" s="41"/>
      <c r="BQ19" s="73" t="str">
        <f t="shared" si="3"/>
        <v>n/a</v>
      </c>
      <c r="BR19" s="73"/>
      <c r="BS19" s="73"/>
      <c r="BT19" s="73"/>
      <c r="BU19" s="41"/>
      <c r="BV19" s="75" t="str">
        <f t="shared" si="4"/>
        <v>n/a</v>
      </c>
      <c r="BW19" s="75"/>
      <c r="BX19" s="75"/>
      <c r="BY19" s="75"/>
      <c r="BZ19" s="41"/>
      <c r="CA19" s="74" t="str">
        <f t="shared" si="5"/>
        <v>n/a</v>
      </c>
      <c r="CB19" s="74"/>
      <c r="CC19" s="74"/>
      <c r="CD19" s="74"/>
      <c r="CE19" s="41"/>
      <c r="CF19" s="9"/>
      <c r="CH19" s="136">
        <f t="shared" si="6"/>
        <v>0</v>
      </c>
      <c r="CI19" s="136"/>
      <c r="CJ19" s="136"/>
      <c r="CK19" s="136"/>
      <c r="CM19" s="81">
        <f t="shared" si="7"/>
        <v>0</v>
      </c>
      <c r="CN19" s="80"/>
      <c r="CO19" s="80"/>
      <c r="CP19" s="80"/>
      <c r="CR19" s="81">
        <f t="shared" si="8"/>
        <v>0</v>
      </c>
      <c r="CS19" s="80"/>
      <c r="CT19" s="80"/>
      <c r="EH19" s="1"/>
      <c r="EI19" s="50"/>
      <c r="EJ19" s="50"/>
      <c r="EK19" s="50"/>
      <c r="EL19" s="98"/>
      <c r="EM19" s="98"/>
      <c r="EN19" s="98"/>
      <c r="EO19" s="98"/>
      <c r="EP19" s="98"/>
      <c r="EQ19" s="98"/>
      <c r="ER19" s="98"/>
      <c r="ES19" s="98"/>
      <c r="ET19" s="98"/>
      <c r="EU19" s="98"/>
      <c r="EV19" s="98"/>
      <c r="EW19" s="98"/>
      <c r="EX19" s="83"/>
      <c r="EY19" s="83"/>
      <c r="EZ19" s="83"/>
      <c r="FA19" s="83"/>
      <c r="FB19" s="83"/>
      <c r="FC19" s="83"/>
      <c r="FD19" s="98"/>
      <c r="FE19" s="98"/>
      <c r="FF19" s="98"/>
      <c r="FG19" s="98"/>
      <c r="FH19" s="98"/>
      <c r="FI19" s="98"/>
      <c r="FJ19" s="98"/>
      <c r="FK19" s="98"/>
      <c r="FL19" s="98"/>
      <c r="FM19" s="98"/>
      <c r="FV19" s="2"/>
      <c r="FW19" s="2"/>
      <c r="FX19" s="2"/>
      <c r="GA19" s="3"/>
      <c r="GB19" s="3"/>
      <c r="GC19" s="3"/>
      <c r="GD19" s="3"/>
    </row>
    <row r="20" spans="2:186" ht="18" customHeight="1" x14ac:dyDescent="0.25">
      <c r="B20" s="7"/>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9"/>
      <c r="AR20" s="7"/>
      <c r="AS20" s="77">
        <v>8</v>
      </c>
      <c r="AT20" s="77"/>
      <c r="AU20" s="77"/>
      <c r="AV20" s="41"/>
      <c r="AW20" s="78" t="str">
        <f t="shared" si="1"/>
        <v>n/a</v>
      </c>
      <c r="AX20" s="78"/>
      <c r="AY20" s="78"/>
      <c r="AZ20" s="78"/>
      <c r="BA20" s="41"/>
      <c r="BB20" s="78" t="str">
        <f t="shared" si="2"/>
        <v>n/a</v>
      </c>
      <c r="BC20" s="78"/>
      <c r="BD20" s="78"/>
      <c r="BE20" s="78"/>
      <c r="BF20" s="41"/>
      <c r="BG20" s="73" t="s">
        <v>75</v>
      </c>
      <c r="BH20" s="73"/>
      <c r="BI20" s="73"/>
      <c r="BJ20" s="73"/>
      <c r="BK20" s="41"/>
      <c r="BL20" s="74" t="s">
        <v>75</v>
      </c>
      <c r="BM20" s="74"/>
      <c r="BN20" s="74"/>
      <c r="BO20" s="74"/>
      <c r="BP20" s="41"/>
      <c r="BQ20" s="73" t="str">
        <f t="shared" si="3"/>
        <v>n/a</v>
      </c>
      <c r="BR20" s="73"/>
      <c r="BS20" s="73"/>
      <c r="BT20" s="73"/>
      <c r="BU20" s="41"/>
      <c r="BV20" s="75" t="str">
        <f t="shared" si="4"/>
        <v>n/a</v>
      </c>
      <c r="BW20" s="75"/>
      <c r="BX20" s="75"/>
      <c r="BY20" s="75"/>
      <c r="BZ20" s="41"/>
      <c r="CA20" s="74" t="str">
        <f t="shared" si="5"/>
        <v>n/a</v>
      </c>
      <c r="CB20" s="74"/>
      <c r="CC20" s="74"/>
      <c r="CD20" s="74"/>
      <c r="CE20" s="41"/>
      <c r="CF20" s="9"/>
      <c r="CH20" s="136">
        <f t="shared" si="6"/>
        <v>0</v>
      </c>
      <c r="CI20" s="136"/>
      <c r="CJ20" s="136"/>
      <c r="CK20" s="136"/>
      <c r="CM20" s="81">
        <f t="shared" si="7"/>
        <v>0</v>
      </c>
      <c r="CN20" s="80"/>
      <c r="CO20" s="80"/>
      <c r="CP20" s="80"/>
      <c r="CR20" s="81">
        <f t="shared" si="8"/>
        <v>0</v>
      </c>
      <c r="CS20" s="80"/>
      <c r="CT20" s="80"/>
      <c r="EH20" s="1"/>
      <c r="EI20" s="50"/>
      <c r="EJ20" s="50"/>
      <c r="EK20" s="50"/>
      <c r="EL20" s="98"/>
      <c r="EM20" s="98"/>
      <c r="EN20" s="98"/>
      <c r="EO20" s="98"/>
      <c r="EP20" s="98"/>
      <c r="EQ20" s="98"/>
      <c r="ER20" s="98"/>
      <c r="ES20" s="98"/>
      <c r="ET20" s="98"/>
      <c r="EU20" s="98"/>
      <c r="EV20" s="98"/>
      <c r="EW20" s="98"/>
      <c r="EX20" s="83"/>
      <c r="EY20" s="83"/>
      <c r="EZ20" s="83"/>
      <c r="FA20" s="83"/>
      <c r="FB20" s="83"/>
      <c r="FC20" s="83"/>
      <c r="FD20" s="98"/>
      <c r="FE20" s="98"/>
      <c r="FF20" s="98"/>
      <c r="FG20" s="98"/>
      <c r="FH20" s="98"/>
      <c r="FI20" s="98"/>
      <c r="FJ20" s="98"/>
      <c r="FK20" s="98"/>
      <c r="FL20" s="98"/>
      <c r="FM20" s="98"/>
      <c r="FV20" s="2"/>
      <c r="FW20" s="2"/>
      <c r="FX20" s="2"/>
      <c r="GA20" s="3"/>
      <c r="GB20" s="3"/>
      <c r="GC20" s="3"/>
      <c r="GD20" s="3"/>
    </row>
    <row r="21" spans="2:186" ht="18" customHeight="1" x14ac:dyDescent="0.25">
      <c r="B21" s="7"/>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9"/>
      <c r="AR21" s="7"/>
      <c r="CF21" s="9"/>
      <c r="EH21" s="1"/>
      <c r="EI21" s="83" t="s">
        <v>62</v>
      </c>
      <c r="EJ21" s="83"/>
      <c r="EK21" s="83"/>
      <c r="EL21" s="83">
        <f t="shared" ref="EL21:EL28" si="9">H37+$AM$30+$AM$29</f>
        <v>43.5</v>
      </c>
      <c r="EM21" s="83"/>
      <c r="EN21" s="83"/>
      <c r="EO21" s="83"/>
      <c r="EP21" s="83"/>
      <c r="EQ21" s="83"/>
      <c r="ER21" s="82">
        <v>0</v>
      </c>
      <c r="ES21" s="82"/>
      <c r="ET21" s="82"/>
      <c r="EU21" s="82"/>
      <c r="EV21" s="82"/>
      <c r="EW21" s="82"/>
      <c r="EX21" s="82">
        <f>ER21+EL21</f>
        <v>43.5</v>
      </c>
      <c r="EY21" s="82"/>
      <c r="EZ21" s="82"/>
      <c r="FA21" s="82"/>
      <c r="FB21" s="82"/>
      <c r="FC21" s="82"/>
      <c r="FD21" s="124">
        <f t="shared" ref="FD21:FD28" si="10">BB13</f>
        <v>47.457485130267244</v>
      </c>
      <c r="FE21" s="83"/>
      <c r="FF21" s="83"/>
      <c r="FG21" s="83"/>
      <c r="FH21" s="83"/>
      <c r="FI21" s="124">
        <v>0</v>
      </c>
      <c r="FJ21" s="83"/>
      <c r="FK21" s="83"/>
      <c r="FL21" s="83"/>
      <c r="FM21" s="83"/>
      <c r="FV21" s="2"/>
      <c r="FW21" s="2"/>
      <c r="FX21" s="2"/>
      <c r="GA21" s="3"/>
      <c r="GB21" s="3"/>
      <c r="GC21" s="3"/>
      <c r="GD21" s="3"/>
    </row>
    <row r="22" spans="2:186" ht="18" customHeight="1" x14ac:dyDescent="0.25">
      <c r="B22" s="7"/>
      <c r="AP22" s="9"/>
      <c r="AR22" s="7"/>
      <c r="AS22" s="76" t="s">
        <v>101</v>
      </c>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F22" s="9"/>
      <c r="EH22" s="1"/>
      <c r="EI22" s="83" t="s">
        <v>63</v>
      </c>
      <c r="EJ22" s="83"/>
      <c r="EK22" s="83"/>
      <c r="EL22" s="83">
        <f t="shared" si="9"/>
        <v>43.5</v>
      </c>
      <c r="EM22" s="83"/>
      <c r="EN22" s="83"/>
      <c r="EO22" s="83"/>
      <c r="EP22" s="83"/>
      <c r="EQ22" s="83"/>
      <c r="ER22" s="82">
        <f>1/((1/EL21))</f>
        <v>43.5</v>
      </c>
      <c r="ES22" s="82"/>
      <c r="ET22" s="82"/>
      <c r="EU22" s="82"/>
      <c r="EV22" s="82"/>
      <c r="EW22" s="82"/>
      <c r="EX22" s="82">
        <f t="shared" ref="EX22:EX28" si="11">ER22+EL22</f>
        <v>87</v>
      </c>
      <c r="EY22" s="82"/>
      <c r="EZ22" s="82"/>
      <c r="FA22" s="82"/>
      <c r="FB22" s="82"/>
      <c r="FC22" s="82"/>
      <c r="FD22" s="124">
        <f t="shared" si="10"/>
        <v>94.914970260534488</v>
      </c>
      <c r="FE22" s="83"/>
      <c r="FF22" s="83"/>
      <c r="FG22" s="83"/>
      <c r="FH22" s="83"/>
      <c r="FI22" s="124">
        <f>SUM(FD21)</f>
        <v>47.457485130267244</v>
      </c>
      <c r="FJ22" s="83"/>
      <c r="FK22" s="83"/>
      <c r="FL22" s="83"/>
      <c r="FM22" s="83"/>
      <c r="FV22" s="2"/>
      <c r="FW22" s="2"/>
      <c r="FX22" s="2"/>
      <c r="GA22" s="3"/>
      <c r="GB22" s="3"/>
      <c r="GC22" s="3"/>
      <c r="GD22" s="3"/>
    </row>
    <row r="23" spans="2:186" ht="18" customHeight="1" x14ac:dyDescent="0.25">
      <c r="B23" s="7"/>
      <c r="AP23" s="9"/>
      <c r="AR23" s="7"/>
      <c r="AS23" s="41"/>
      <c r="AT23" s="41"/>
      <c r="AU23" s="41"/>
      <c r="AV23" s="41"/>
      <c r="AW23" s="94" t="s">
        <v>83</v>
      </c>
      <c r="AX23" s="94"/>
      <c r="AY23" s="94"/>
      <c r="AZ23" s="94"/>
      <c r="BA23" s="41"/>
      <c r="BB23" s="94" t="s">
        <v>84</v>
      </c>
      <c r="BC23" s="94"/>
      <c r="BD23" s="94"/>
      <c r="BE23" s="94"/>
      <c r="BF23" s="41"/>
      <c r="BG23" s="94" t="s">
        <v>85</v>
      </c>
      <c r="BH23" s="94"/>
      <c r="BI23" s="94"/>
      <c r="BJ23" s="94"/>
      <c r="BK23" s="41"/>
      <c r="BL23" s="94" t="s">
        <v>86</v>
      </c>
      <c r="BM23" s="94"/>
      <c r="BN23" s="94"/>
      <c r="BO23" s="94"/>
      <c r="BP23" s="46"/>
      <c r="BQ23" s="94" t="s">
        <v>99</v>
      </c>
      <c r="BR23" s="94"/>
      <c r="BS23" s="94"/>
      <c r="BT23" s="94"/>
      <c r="BU23" s="46"/>
      <c r="BV23" s="94" t="s">
        <v>100</v>
      </c>
      <c r="BW23" s="94"/>
      <c r="BX23" s="94"/>
      <c r="BY23" s="94"/>
      <c r="BZ23" s="46"/>
      <c r="CA23" s="94" t="s">
        <v>89</v>
      </c>
      <c r="CB23" s="94"/>
      <c r="CC23" s="94"/>
      <c r="CD23" s="94"/>
      <c r="CF23" s="9"/>
      <c r="EH23" s="1"/>
      <c r="EI23" s="83" t="s">
        <v>64</v>
      </c>
      <c r="EJ23" s="83"/>
      <c r="EK23" s="83"/>
      <c r="EL23" s="83">
        <f t="shared" si="9"/>
        <v>43.5</v>
      </c>
      <c r="EM23" s="83"/>
      <c r="EN23" s="83"/>
      <c r="EO23" s="83"/>
      <c r="EP23" s="83"/>
      <c r="EQ23" s="83"/>
      <c r="ER23" s="82">
        <f>1/((1/EL21)+(1/EL22))</f>
        <v>21.75</v>
      </c>
      <c r="ES23" s="82"/>
      <c r="ET23" s="82"/>
      <c r="EU23" s="82"/>
      <c r="EV23" s="82"/>
      <c r="EW23" s="82"/>
      <c r="EX23" s="82">
        <f t="shared" si="11"/>
        <v>65.25</v>
      </c>
      <c r="EY23" s="82"/>
      <c r="EZ23" s="82"/>
      <c r="FA23" s="82"/>
      <c r="FB23" s="82"/>
      <c r="FC23" s="82"/>
      <c r="FD23" s="124">
        <f t="shared" si="10"/>
        <v>189.82994052106898</v>
      </c>
      <c r="FE23" s="83"/>
      <c r="FF23" s="83"/>
      <c r="FG23" s="83"/>
      <c r="FH23" s="83"/>
      <c r="FI23" s="124">
        <f>SUM(FD21,FD22)</f>
        <v>142.37245539080175</v>
      </c>
      <c r="FJ23" s="83"/>
      <c r="FK23" s="83"/>
      <c r="FL23" s="83"/>
      <c r="FM23" s="83"/>
      <c r="FV23" s="2"/>
      <c r="FW23" s="2"/>
      <c r="FX23" s="2"/>
      <c r="GA23" s="3"/>
      <c r="GB23" s="3"/>
      <c r="GC23" s="3"/>
      <c r="GD23" s="3"/>
    </row>
    <row r="24" spans="2:186" ht="18" customHeight="1" x14ac:dyDescent="0.3">
      <c r="B24" s="7"/>
      <c r="C24" s="48" t="s">
        <v>25</v>
      </c>
      <c r="D24" s="47"/>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9"/>
      <c r="AR24" s="7"/>
      <c r="AS24" s="41"/>
      <c r="AT24" s="41"/>
      <c r="AU24" s="41"/>
      <c r="AV24" s="41"/>
      <c r="AW24" s="94"/>
      <c r="AX24" s="94"/>
      <c r="AY24" s="94"/>
      <c r="AZ24" s="94"/>
      <c r="BA24" s="41"/>
      <c r="BB24" s="94"/>
      <c r="BC24" s="94"/>
      <c r="BD24" s="94"/>
      <c r="BE24" s="94"/>
      <c r="BF24" s="41"/>
      <c r="BG24" s="94"/>
      <c r="BH24" s="94"/>
      <c r="BI24" s="94"/>
      <c r="BJ24" s="94"/>
      <c r="BK24" s="41"/>
      <c r="BL24" s="94"/>
      <c r="BM24" s="94"/>
      <c r="BN24" s="94"/>
      <c r="BO24" s="94"/>
      <c r="BP24" s="46"/>
      <c r="BQ24" s="94"/>
      <c r="BR24" s="94"/>
      <c r="BS24" s="94"/>
      <c r="BT24" s="94"/>
      <c r="BU24" s="46"/>
      <c r="BV24" s="94"/>
      <c r="BW24" s="94"/>
      <c r="BX24" s="94"/>
      <c r="BY24" s="94"/>
      <c r="BZ24" s="46"/>
      <c r="CA24" s="94"/>
      <c r="CB24" s="94"/>
      <c r="CC24" s="94"/>
      <c r="CD24" s="94"/>
      <c r="CF24" s="9"/>
      <c r="EH24" s="1"/>
      <c r="EI24" s="83" t="s">
        <v>65</v>
      </c>
      <c r="EJ24" s="83"/>
      <c r="EK24" s="83"/>
      <c r="EL24" s="83">
        <f t="shared" si="9"/>
        <v>43.5</v>
      </c>
      <c r="EM24" s="83"/>
      <c r="EN24" s="83"/>
      <c r="EO24" s="83"/>
      <c r="EP24" s="83"/>
      <c r="EQ24" s="83"/>
      <c r="ER24" s="82">
        <f>1/((1/EL21)+(1/EL22)+(1/EL23))</f>
        <v>14.5</v>
      </c>
      <c r="ES24" s="82"/>
      <c r="ET24" s="82"/>
      <c r="EU24" s="82"/>
      <c r="EV24" s="82"/>
      <c r="EW24" s="82"/>
      <c r="EX24" s="82">
        <f t="shared" si="11"/>
        <v>58</v>
      </c>
      <c r="EY24" s="82"/>
      <c r="EZ24" s="82"/>
      <c r="FA24" s="82"/>
      <c r="FB24" s="82"/>
      <c r="FC24" s="82"/>
      <c r="FD24" s="124">
        <f t="shared" si="10"/>
        <v>189.82994052106898</v>
      </c>
      <c r="FE24" s="83"/>
      <c r="FF24" s="83"/>
      <c r="FG24" s="83"/>
      <c r="FH24" s="83"/>
      <c r="FI24" s="124">
        <f>SUM(FD21,FD22,FD23)</f>
        <v>332.20239591187072</v>
      </c>
      <c r="FJ24" s="83"/>
      <c r="FK24" s="83"/>
      <c r="FL24" s="83"/>
      <c r="FM24" s="83"/>
      <c r="FV24" s="2"/>
      <c r="FW24" s="2"/>
      <c r="FX24" s="2"/>
      <c r="GA24" s="3"/>
      <c r="GB24" s="3"/>
      <c r="GC24" s="3"/>
      <c r="GD24" s="3"/>
    </row>
    <row r="25" spans="2:186" ht="18" customHeight="1" x14ac:dyDescent="0.3">
      <c r="B25" s="7"/>
      <c r="D25" s="45"/>
      <c r="E25" s="45"/>
      <c r="F25" s="45"/>
      <c r="G25" s="45"/>
      <c r="H25" s="45"/>
      <c r="I25" s="45"/>
      <c r="J25" s="45"/>
      <c r="K25" s="45"/>
      <c r="L25" s="45"/>
      <c r="M25" s="45"/>
      <c r="N25" s="45"/>
      <c r="O25" s="34"/>
      <c r="P25" s="34"/>
      <c r="Q25" s="34"/>
      <c r="R25" s="10" t="s">
        <v>36</v>
      </c>
      <c r="S25" s="105">
        <v>13.8</v>
      </c>
      <c r="T25" s="105"/>
      <c r="U25" s="105"/>
      <c r="V25" s="105"/>
      <c r="W25" s="105"/>
      <c r="X25" s="16"/>
      <c r="Y25" s="34"/>
      <c r="Z25" s="34"/>
      <c r="AA25" s="34"/>
      <c r="AB25" s="34"/>
      <c r="AC25" s="34"/>
      <c r="AD25" s="34"/>
      <c r="AE25" s="34"/>
      <c r="AF25" s="34"/>
      <c r="AG25" s="34"/>
      <c r="AH25" s="34"/>
      <c r="AI25" s="34"/>
      <c r="AJ25" s="16"/>
      <c r="AK25" s="16"/>
      <c r="AL25" s="10" t="s">
        <v>26</v>
      </c>
      <c r="AM25" s="105">
        <v>60</v>
      </c>
      <c r="AN25" s="105"/>
      <c r="AO25" s="105"/>
      <c r="AP25" s="20"/>
      <c r="AR25" s="7"/>
      <c r="AS25" s="41"/>
      <c r="AT25" s="41"/>
      <c r="AU25" s="41"/>
      <c r="AV25" s="41"/>
      <c r="AW25" s="94"/>
      <c r="AX25" s="94"/>
      <c r="AY25" s="94"/>
      <c r="AZ25" s="94"/>
      <c r="BA25" s="41"/>
      <c r="BB25" s="94"/>
      <c r="BC25" s="94"/>
      <c r="BD25" s="94"/>
      <c r="BE25" s="94"/>
      <c r="BF25" s="41"/>
      <c r="BG25" s="94"/>
      <c r="BH25" s="94"/>
      <c r="BI25" s="94"/>
      <c r="BJ25" s="94"/>
      <c r="BK25" s="41"/>
      <c r="BL25" s="94"/>
      <c r="BM25" s="94"/>
      <c r="BN25" s="94"/>
      <c r="BO25" s="94"/>
      <c r="BP25" s="46"/>
      <c r="BQ25" s="94"/>
      <c r="BR25" s="94"/>
      <c r="BS25" s="94"/>
      <c r="BT25" s="94"/>
      <c r="BU25" s="46"/>
      <c r="BV25" s="94"/>
      <c r="BW25" s="94"/>
      <c r="BX25" s="94"/>
      <c r="BY25" s="94"/>
      <c r="BZ25" s="46"/>
      <c r="CA25" s="94"/>
      <c r="CB25" s="94"/>
      <c r="CC25" s="94"/>
      <c r="CD25" s="94"/>
      <c r="CF25" s="9"/>
      <c r="CL25" s="80" t="b">
        <f>LEFT(K37,7)="Breaker"</f>
        <v>0</v>
      </c>
      <c r="CM25" s="80"/>
      <c r="CN25" s="80"/>
      <c r="CO25" s="80"/>
      <c r="CP25" s="80"/>
      <c r="EH25" s="1"/>
      <c r="EI25" s="83" t="s">
        <v>66</v>
      </c>
      <c r="EJ25" s="83"/>
      <c r="EK25" s="83"/>
      <c r="EL25" s="83">
        <f t="shared" si="9"/>
        <v>3.5</v>
      </c>
      <c r="EM25" s="83"/>
      <c r="EN25" s="83"/>
      <c r="EO25" s="83"/>
      <c r="EP25" s="83"/>
      <c r="EQ25" s="83"/>
      <c r="ER25" s="82">
        <f>1/((1/EL21)+(1/EL22)+(1/EL23)+(1/EL24))</f>
        <v>10.875</v>
      </c>
      <c r="ES25" s="82"/>
      <c r="ET25" s="82"/>
      <c r="EU25" s="82"/>
      <c r="EV25" s="82"/>
      <c r="EW25" s="82"/>
      <c r="EX25" s="82">
        <f t="shared" si="11"/>
        <v>14.375</v>
      </c>
      <c r="EY25" s="82"/>
      <c r="EZ25" s="82"/>
      <c r="FA25" s="82"/>
      <c r="FB25" s="82"/>
      <c r="FC25" s="82"/>
      <c r="FD25" s="124" t="str">
        <f t="shared" si="10"/>
        <v>n/a</v>
      </c>
      <c r="FE25" s="83"/>
      <c r="FF25" s="83"/>
      <c r="FG25" s="83"/>
      <c r="FH25" s="83"/>
      <c r="FI25" s="124">
        <f>SUM(FD21,FD22,FD23,FD24)</f>
        <v>522.0323364329397</v>
      </c>
      <c r="FJ25" s="83"/>
      <c r="FK25" s="83"/>
      <c r="FL25" s="83"/>
      <c r="FM25" s="83"/>
      <c r="FV25" s="2"/>
      <c r="FW25" s="2"/>
      <c r="FX25" s="2"/>
      <c r="GA25" s="3"/>
      <c r="GB25" s="3"/>
      <c r="GC25" s="3"/>
      <c r="GD25" s="3"/>
    </row>
    <row r="26" spans="2:186" ht="18" customHeight="1" x14ac:dyDescent="0.25">
      <c r="B26" s="7"/>
      <c r="D26" s="34"/>
      <c r="E26" s="34"/>
      <c r="F26" s="34"/>
      <c r="G26" s="34"/>
      <c r="H26" s="34"/>
      <c r="I26" s="34"/>
      <c r="J26" s="34"/>
      <c r="K26" s="34"/>
      <c r="M26" s="34"/>
      <c r="N26" s="34"/>
      <c r="O26" s="34"/>
      <c r="P26" s="34"/>
      <c r="R26" s="10" t="s">
        <v>27</v>
      </c>
      <c r="S26" s="104">
        <v>0.1</v>
      </c>
      <c r="T26" s="104"/>
      <c r="U26" s="104"/>
      <c r="V26" s="104"/>
      <c r="W26" s="104"/>
      <c r="X26" s="16"/>
      <c r="Y26" s="16"/>
      <c r="Z26" s="16"/>
      <c r="AA26" s="34"/>
      <c r="AB26" s="34"/>
      <c r="AC26" s="34"/>
      <c r="AD26" s="10"/>
      <c r="AE26" s="10"/>
      <c r="AF26" s="10"/>
      <c r="AG26" s="10"/>
      <c r="AH26" s="10"/>
      <c r="AI26" s="10"/>
      <c r="AJ26" s="16"/>
      <c r="AK26" s="16"/>
      <c r="AL26" s="10" t="s">
        <v>112</v>
      </c>
      <c r="AM26" s="104">
        <v>0.03</v>
      </c>
      <c r="AN26" s="104"/>
      <c r="AO26" s="104"/>
      <c r="AP26" s="9"/>
      <c r="AR26" s="7"/>
      <c r="AS26" s="106" t="s">
        <v>35</v>
      </c>
      <c r="AT26" s="106"/>
      <c r="AU26" s="106"/>
      <c r="AV26" s="41"/>
      <c r="AW26" s="94"/>
      <c r="AX26" s="94"/>
      <c r="AY26" s="94"/>
      <c r="AZ26" s="94"/>
      <c r="BA26" s="41"/>
      <c r="BB26" s="94"/>
      <c r="BC26" s="94"/>
      <c r="BD26" s="94"/>
      <c r="BE26" s="94"/>
      <c r="BF26" s="41"/>
      <c r="BG26" s="94"/>
      <c r="BH26" s="94"/>
      <c r="BI26" s="94"/>
      <c r="BJ26" s="94"/>
      <c r="BK26" s="41"/>
      <c r="BL26" s="94"/>
      <c r="BM26" s="94"/>
      <c r="BN26" s="94"/>
      <c r="BO26" s="94"/>
      <c r="BP26" s="46"/>
      <c r="BQ26" s="94"/>
      <c r="BR26" s="94"/>
      <c r="BS26" s="94"/>
      <c r="BT26" s="94"/>
      <c r="BU26" s="46"/>
      <c r="BV26" s="94"/>
      <c r="BW26" s="94"/>
      <c r="BX26" s="94"/>
      <c r="BY26" s="94"/>
      <c r="BZ26" s="46"/>
      <c r="CA26" s="94"/>
      <c r="CB26" s="94"/>
      <c r="CC26" s="94"/>
      <c r="CD26" s="94"/>
      <c r="CF26" s="21"/>
      <c r="EH26" s="1"/>
      <c r="EI26" s="83" t="s">
        <v>67</v>
      </c>
      <c r="EJ26" s="83"/>
      <c r="EK26" s="83"/>
      <c r="EL26" s="83">
        <f t="shared" si="9"/>
        <v>3.5</v>
      </c>
      <c r="EM26" s="83"/>
      <c r="EN26" s="83"/>
      <c r="EO26" s="83"/>
      <c r="EP26" s="83"/>
      <c r="EQ26" s="83"/>
      <c r="ER26" s="82">
        <f>1/((1/EL21)+(1/EL22)+(1/EL23)+(1/EL24)+(1/EL25))</f>
        <v>2.6478260869565218</v>
      </c>
      <c r="ES26" s="82"/>
      <c r="ET26" s="82"/>
      <c r="EU26" s="82"/>
      <c r="EV26" s="82"/>
      <c r="EW26" s="82"/>
      <c r="EX26" s="82">
        <f t="shared" si="11"/>
        <v>6.1478260869565222</v>
      </c>
      <c r="EY26" s="82"/>
      <c r="EZ26" s="82"/>
      <c r="FA26" s="82"/>
      <c r="FB26" s="82"/>
      <c r="FC26" s="82"/>
      <c r="FD26" s="124" t="str">
        <f t="shared" si="10"/>
        <v>n/a</v>
      </c>
      <c r="FE26" s="83"/>
      <c r="FF26" s="83"/>
      <c r="FG26" s="83"/>
      <c r="FH26" s="83"/>
      <c r="FI26" s="124">
        <f>SUM(FD21,FD22,FD23,FD24,FD25)</f>
        <v>522.0323364329397</v>
      </c>
      <c r="FJ26" s="83"/>
      <c r="FK26" s="83"/>
      <c r="FL26" s="83"/>
      <c r="FM26" s="83"/>
      <c r="FV26" s="2"/>
      <c r="FW26" s="2"/>
      <c r="FX26" s="2"/>
      <c r="GA26" s="3"/>
      <c r="GB26" s="3"/>
      <c r="GC26" s="3"/>
      <c r="GD26" s="3"/>
    </row>
    <row r="27" spans="2:186" ht="18" customHeight="1" x14ac:dyDescent="0.25">
      <c r="B27" s="7"/>
      <c r="R27" s="10" t="s">
        <v>102</v>
      </c>
      <c r="S27" s="105" t="s">
        <v>103</v>
      </c>
      <c r="T27" s="105"/>
      <c r="U27" s="105"/>
      <c r="V27" s="105"/>
      <c r="W27" s="105"/>
      <c r="X27" s="110" t="s">
        <v>104</v>
      </c>
      <c r="Y27" s="110"/>
      <c r="Z27" s="110"/>
      <c r="AA27" s="110"/>
      <c r="AB27" s="110"/>
      <c r="AC27" s="110"/>
      <c r="AD27" s="110"/>
      <c r="AE27" s="110"/>
      <c r="AF27" s="110"/>
      <c r="AG27" s="110"/>
      <c r="AH27" s="110"/>
      <c r="AI27" s="110"/>
      <c r="AJ27" s="110"/>
      <c r="AK27" s="110"/>
      <c r="AL27" s="110"/>
      <c r="AM27" s="104">
        <v>0.1</v>
      </c>
      <c r="AN27" s="104"/>
      <c r="AO27" s="104"/>
      <c r="AP27" s="9"/>
      <c r="AR27" s="7"/>
      <c r="AS27" s="107">
        <v>1</v>
      </c>
      <c r="AT27" s="107"/>
      <c r="AU27" s="107"/>
      <c r="AV27" s="41"/>
      <c r="AW27" s="108">
        <f t="shared" ref="AW27:AW34" si="12">IF(E37=0,"n/a",E37/(1.73*$S$25))</f>
        <v>41.886571165284408</v>
      </c>
      <c r="AX27" s="108"/>
      <c r="AY27" s="108"/>
      <c r="AZ27" s="108"/>
      <c r="BA27" s="41"/>
      <c r="BB27" s="108">
        <f t="shared" ref="BB27:BB34" si="13">IF(E37=0,"n/a",((1+$AM$26)*(1+$S$26))*AW13)</f>
        <v>47.457485130267244</v>
      </c>
      <c r="BC27" s="108"/>
      <c r="BD27" s="108"/>
      <c r="BE27" s="108"/>
      <c r="BF27" s="41"/>
      <c r="BG27" s="109">
        <f t="shared" ref="BG27:BG34" si="14">IF(E37=0,"n/a",SQRT(2)*SQRT(FE8*1000*BB13))</f>
        <v>959.97047757237942</v>
      </c>
      <c r="BH27" s="109"/>
      <c r="BI27" s="109"/>
      <c r="BJ27" s="109"/>
      <c r="BK27" s="44"/>
      <c r="BL27" s="89">
        <f t="shared" ref="BL27:BL34" si="15">IF(E37=0,"n/a",$AM$25*SQRT(FE8*1000/BB13))</f>
        <v>858.20177689617344</v>
      </c>
      <c r="BM27" s="89"/>
      <c r="BN27" s="89"/>
      <c r="BO27" s="89"/>
      <c r="BP27" s="44"/>
      <c r="BQ27" s="89">
        <f t="shared" ref="BQ27:BQ34" si="16">IF(OR(FI36=0,BB27="n/a"),"n/a",13500*SQRT(($S$25*(1+$S$26)*FD36*FI36)/($AM$25*EX36*(FD36+FI36))))</f>
        <v>5856.4717119521847</v>
      </c>
      <c r="BR27" s="89"/>
      <c r="BS27" s="89"/>
      <c r="BT27" s="89"/>
      <c r="BU27" s="44"/>
      <c r="BV27" s="90">
        <f>IF(FI36=0,"n/a",9.5*SQRT(($AM$25*$S$25*(1+$S$26)*(FD36+FI36))/(EX36*FD36*FI36)))</f>
        <v>5.7314578368323241</v>
      </c>
      <c r="BW27" s="91"/>
      <c r="BX27" s="91"/>
      <c r="BY27" s="92"/>
      <c r="BZ27" s="44"/>
      <c r="CA27" s="89">
        <f>IF(AND(BQ27="n/a",BG27="n/a"),"n/a",IF(BQ27="n/a",BG27*BL27/1000,BQ27*BV27))</f>
        <v>33566.120689655167</v>
      </c>
      <c r="CB27" s="89"/>
      <c r="CC27" s="89"/>
      <c r="CD27" s="89"/>
      <c r="CF27" s="9"/>
      <c r="EH27" s="1"/>
      <c r="EI27" s="83" t="s">
        <v>68</v>
      </c>
      <c r="EJ27" s="83"/>
      <c r="EK27" s="83"/>
      <c r="EL27" s="83">
        <f t="shared" si="9"/>
        <v>3.5</v>
      </c>
      <c r="EM27" s="83"/>
      <c r="EN27" s="83"/>
      <c r="EO27" s="83"/>
      <c r="EP27" s="83"/>
      <c r="EQ27" s="83"/>
      <c r="ER27" s="82">
        <f>1/((1/EL21)+(1/EL22)+(1/EL23)+(1/EL24)+(1/EL25)+(1/EL26))</f>
        <v>1.5074257425742574</v>
      </c>
      <c r="ES27" s="82"/>
      <c r="ET27" s="82"/>
      <c r="EU27" s="82"/>
      <c r="EV27" s="82"/>
      <c r="EW27" s="82"/>
      <c r="EX27" s="82">
        <f t="shared" si="11"/>
        <v>5.0074257425742577</v>
      </c>
      <c r="EY27" s="82"/>
      <c r="EZ27" s="82"/>
      <c r="FA27" s="82"/>
      <c r="FB27" s="82"/>
      <c r="FC27" s="82"/>
      <c r="FD27" s="124" t="str">
        <f t="shared" si="10"/>
        <v>n/a</v>
      </c>
      <c r="FE27" s="83"/>
      <c r="FF27" s="83"/>
      <c r="FG27" s="83"/>
      <c r="FH27" s="83"/>
      <c r="FI27" s="124">
        <f>SUM(FD21,FD22,FD23,FD24,FD25,FD26)</f>
        <v>522.0323364329397</v>
      </c>
      <c r="FJ27" s="83"/>
      <c r="FK27" s="83"/>
      <c r="FL27" s="83"/>
      <c r="FM27" s="83"/>
      <c r="FV27" s="2"/>
      <c r="FW27" s="2"/>
      <c r="FX27" s="2"/>
      <c r="GA27" s="3"/>
      <c r="GB27" s="3"/>
      <c r="GC27" s="3"/>
      <c r="GD27" s="3"/>
    </row>
    <row r="28" spans="2:186" ht="18" x14ac:dyDescent="0.25">
      <c r="B28" s="7"/>
      <c r="D28" s="15"/>
      <c r="E28" s="15"/>
      <c r="F28" s="15"/>
      <c r="G28" s="15"/>
      <c r="H28" s="15"/>
      <c r="I28" s="15"/>
      <c r="J28" s="15"/>
      <c r="K28" s="15"/>
      <c r="M28" s="15"/>
      <c r="N28" s="15"/>
      <c r="O28" s="15"/>
      <c r="P28" s="15"/>
      <c r="R28" s="10" t="s">
        <v>105</v>
      </c>
      <c r="S28" s="105">
        <v>10</v>
      </c>
      <c r="T28" s="105"/>
      <c r="U28" s="105"/>
      <c r="V28" s="105"/>
      <c r="W28" s="105"/>
      <c r="X28" s="16"/>
      <c r="Y28" s="16"/>
      <c r="Z28" s="16"/>
      <c r="AA28" s="10"/>
      <c r="AB28" s="10"/>
      <c r="AC28" s="10"/>
      <c r="AD28" s="10"/>
      <c r="AE28" s="10"/>
      <c r="AF28" s="10"/>
      <c r="AG28" s="10"/>
      <c r="AH28" s="10"/>
      <c r="AI28" s="10"/>
      <c r="AJ28" s="16"/>
      <c r="AK28" s="16"/>
      <c r="AL28" s="10" t="s">
        <v>38</v>
      </c>
      <c r="AM28" s="105">
        <v>25</v>
      </c>
      <c r="AN28" s="105"/>
      <c r="AO28" s="105"/>
      <c r="AP28" s="9"/>
      <c r="AR28" s="7"/>
      <c r="AS28" s="77">
        <v>2</v>
      </c>
      <c r="AT28" s="77"/>
      <c r="AU28" s="77"/>
      <c r="AV28" s="41"/>
      <c r="AW28" s="78">
        <f t="shared" si="12"/>
        <v>83.773142330568817</v>
      </c>
      <c r="AX28" s="78"/>
      <c r="AY28" s="78"/>
      <c r="AZ28" s="78"/>
      <c r="BA28" s="41"/>
      <c r="BB28" s="78">
        <f t="shared" si="13"/>
        <v>94.914970260534488</v>
      </c>
      <c r="BC28" s="78"/>
      <c r="BD28" s="78"/>
      <c r="BE28" s="78"/>
      <c r="BF28" s="41"/>
      <c r="BG28" s="73">
        <f t="shared" si="14"/>
        <v>1357.603268860636</v>
      </c>
      <c r="BH28" s="73"/>
      <c r="BI28" s="73"/>
      <c r="BJ28" s="73"/>
      <c r="BK28" s="44"/>
      <c r="BL28" s="74">
        <f t="shared" si="15"/>
        <v>606.84029606962883</v>
      </c>
      <c r="BM28" s="74"/>
      <c r="BN28" s="74"/>
      <c r="BO28" s="74"/>
      <c r="BP28" s="44"/>
      <c r="BQ28" s="74">
        <f t="shared" si="16"/>
        <v>7857.2813137377916</v>
      </c>
      <c r="BR28" s="74"/>
      <c r="BS28" s="74"/>
      <c r="BT28" s="74"/>
      <c r="BU28" s="44"/>
      <c r="BV28" s="75">
        <f t="shared" ref="BV28:BV34" si="17">IF(E38=0,"n/a",9.5*SQRT(($AM$25*$S$25*(1+$S$26)*(FD37+FI37))/(EX37*FD37*FI37)))</f>
        <v>4.2719764444436583</v>
      </c>
      <c r="BW28" s="75"/>
      <c r="BX28" s="75"/>
      <c r="BY28" s="75"/>
      <c r="BZ28" s="44"/>
      <c r="CA28" s="74">
        <f t="shared" ref="CA28:CA34" si="18">IF(AND(BQ28="n/a",BG28="n/a"),"n/a",IF(BQ28="n/a",BG28*BL28/1000,BQ28*BV28))</f>
        <v>33566.120689655167</v>
      </c>
      <c r="CB28" s="74"/>
      <c r="CC28" s="74"/>
      <c r="CD28" s="74"/>
      <c r="CF28" s="9"/>
      <c r="EH28" s="1"/>
      <c r="EI28" s="83" t="s">
        <v>69</v>
      </c>
      <c r="EJ28" s="83"/>
      <c r="EK28" s="83"/>
      <c r="EL28" s="83">
        <f t="shared" si="9"/>
        <v>3.5</v>
      </c>
      <c r="EM28" s="83"/>
      <c r="EN28" s="83"/>
      <c r="EO28" s="83"/>
      <c r="EP28" s="83"/>
      <c r="EQ28" s="83"/>
      <c r="ER28" s="82">
        <f>1/((1/EL21)+(1/EL22)+(1/EL23)+(1/EL24)+(1/EL25)+(1/EL26)+(1/EL27))</f>
        <v>1.0536332179930796</v>
      </c>
      <c r="ES28" s="82"/>
      <c r="ET28" s="82"/>
      <c r="EU28" s="82"/>
      <c r="EV28" s="82"/>
      <c r="EW28" s="82"/>
      <c r="EX28" s="82">
        <f t="shared" si="11"/>
        <v>4.5536332179930792</v>
      </c>
      <c r="EY28" s="82"/>
      <c r="EZ28" s="82"/>
      <c r="FA28" s="82"/>
      <c r="FB28" s="82"/>
      <c r="FC28" s="82"/>
      <c r="FD28" s="124" t="str">
        <f t="shared" si="10"/>
        <v>n/a</v>
      </c>
      <c r="FE28" s="83"/>
      <c r="FF28" s="83"/>
      <c r="FG28" s="83"/>
      <c r="FH28" s="83"/>
      <c r="FI28" s="124">
        <f>SUM(FD21,FD22,FD23,FD24,FD25,FD26,FD27)</f>
        <v>522.0323364329397</v>
      </c>
      <c r="FJ28" s="83"/>
      <c r="FK28" s="83"/>
      <c r="FL28" s="83"/>
      <c r="FM28" s="83"/>
      <c r="FV28" s="2"/>
      <c r="FW28" s="2"/>
      <c r="FX28" s="2"/>
      <c r="GA28" s="3"/>
      <c r="GB28" s="3"/>
      <c r="GC28" s="3"/>
      <c r="GD28" s="3"/>
    </row>
    <row r="29" spans="2:186" ht="18" customHeight="1" x14ac:dyDescent="0.25">
      <c r="B29" s="7"/>
      <c r="C29" s="15"/>
      <c r="D29" s="15"/>
      <c r="E29" s="15"/>
      <c r="F29" s="15"/>
      <c r="G29" s="15"/>
      <c r="H29" s="15"/>
      <c r="I29" s="15"/>
      <c r="J29" s="15"/>
      <c r="K29" s="15"/>
      <c r="L29" s="15"/>
      <c r="M29" s="15"/>
      <c r="N29" s="15"/>
      <c r="O29" s="15"/>
      <c r="P29" s="15"/>
      <c r="Q29" s="15"/>
      <c r="R29" s="10" t="s">
        <v>37</v>
      </c>
      <c r="S29" s="105">
        <v>25</v>
      </c>
      <c r="T29" s="105"/>
      <c r="U29" s="105"/>
      <c r="V29" s="105"/>
      <c r="W29" s="105"/>
      <c r="X29" s="16"/>
      <c r="Y29" s="10"/>
      <c r="Z29" s="10"/>
      <c r="AA29" s="10"/>
      <c r="AB29" s="10"/>
      <c r="AC29" s="10"/>
      <c r="AD29" s="10"/>
      <c r="AE29" s="10"/>
      <c r="AF29" s="10"/>
      <c r="AG29" s="10"/>
      <c r="AH29" s="10"/>
      <c r="AI29" s="10"/>
      <c r="AJ29" s="16"/>
      <c r="AK29" s="16"/>
      <c r="AL29" s="10" t="s">
        <v>61</v>
      </c>
      <c r="AM29" s="105">
        <v>3.5</v>
      </c>
      <c r="AN29" s="105"/>
      <c r="AO29" s="105"/>
      <c r="AP29" s="9"/>
      <c r="AR29" s="7"/>
      <c r="AS29" s="77">
        <v>3</v>
      </c>
      <c r="AT29" s="77"/>
      <c r="AU29" s="77"/>
      <c r="AV29" s="41"/>
      <c r="AW29" s="78">
        <f t="shared" si="12"/>
        <v>167.54628466113763</v>
      </c>
      <c r="AX29" s="78"/>
      <c r="AY29" s="78"/>
      <c r="AZ29" s="78"/>
      <c r="BA29" s="41"/>
      <c r="BB29" s="78">
        <f t="shared" si="13"/>
        <v>189.82994052106898</v>
      </c>
      <c r="BC29" s="78"/>
      <c r="BD29" s="78"/>
      <c r="BE29" s="78"/>
      <c r="BF29" s="41"/>
      <c r="BG29" s="73">
        <f t="shared" si="14"/>
        <v>1919.9409551447588</v>
      </c>
      <c r="BH29" s="73"/>
      <c r="BI29" s="73"/>
      <c r="BJ29" s="73"/>
      <c r="BK29" s="41"/>
      <c r="BL29" s="74">
        <f t="shared" si="15"/>
        <v>429.10088844808672</v>
      </c>
      <c r="BM29" s="74"/>
      <c r="BN29" s="74"/>
      <c r="BO29" s="74"/>
      <c r="BP29" s="41"/>
      <c r="BQ29" s="74">
        <f t="shared" si="16"/>
        <v>9799.7515558359573</v>
      </c>
      <c r="BR29" s="74"/>
      <c r="BS29" s="74"/>
      <c r="BT29" s="74"/>
      <c r="BU29" s="41"/>
      <c r="BV29" s="75">
        <f t="shared" si="17"/>
        <v>3.4252011898879058</v>
      </c>
      <c r="BW29" s="75"/>
      <c r="BX29" s="75"/>
      <c r="BY29" s="75"/>
      <c r="BZ29" s="41"/>
      <c r="CA29" s="74">
        <f t="shared" si="18"/>
        <v>33566.120689655174</v>
      </c>
      <c r="CB29" s="74"/>
      <c r="CC29" s="74"/>
      <c r="CD29" s="74"/>
      <c r="CF29" s="9"/>
      <c r="EH29" s="1"/>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row>
    <row r="30" spans="2:186" ht="18" customHeight="1" x14ac:dyDescent="0.25">
      <c r="B30" s="7"/>
      <c r="F30" s="15"/>
      <c r="G30" s="15"/>
      <c r="H30" s="15"/>
      <c r="I30" s="15"/>
      <c r="J30" s="15"/>
      <c r="K30" s="15"/>
      <c r="L30" s="15"/>
      <c r="M30" s="15"/>
      <c r="N30" s="15"/>
      <c r="O30" s="15"/>
      <c r="P30" s="15"/>
      <c r="Q30" s="15"/>
      <c r="R30" s="10" t="s">
        <v>30</v>
      </c>
      <c r="S30" s="105">
        <v>0</v>
      </c>
      <c r="T30" s="105"/>
      <c r="U30" s="105"/>
      <c r="V30" s="105"/>
      <c r="W30" s="105"/>
      <c r="X30" s="16"/>
      <c r="Y30" s="10"/>
      <c r="Z30" s="10"/>
      <c r="AA30" s="10"/>
      <c r="AB30" s="10"/>
      <c r="AC30" s="10"/>
      <c r="AD30" s="10"/>
      <c r="AE30" s="10"/>
      <c r="AF30" s="10"/>
      <c r="AG30" s="10"/>
      <c r="AH30" s="10"/>
      <c r="AI30" s="10"/>
      <c r="AJ30" s="10"/>
      <c r="AK30" s="10"/>
      <c r="AL30" s="10" t="s">
        <v>29</v>
      </c>
      <c r="AM30" s="105">
        <v>0</v>
      </c>
      <c r="AN30" s="105"/>
      <c r="AO30" s="105"/>
      <c r="AP30" s="9"/>
      <c r="AR30" s="7"/>
      <c r="AS30" s="77">
        <v>4</v>
      </c>
      <c r="AT30" s="77"/>
      <c r="AU30" s="77"/>
      <c r="AV30" s="41"/>
      <c r="AW30" s="78">
        <f t="shared" si="12"/>
        <v>167.54628466113763</v>
      </c>
      <c r="AX30" s="78"/>
      <c r="AY30" s="78"/>
      <c r="AZ30" s="78"/>
      <c r="BA30" s="41"/>
      <c r="BB30" s="78">
        <f t="shared" si="13"/>
        <v>189.82994052106898</v>
      </c>
      <c r="BC30" s="78"/>
      <c r="BD30" s="78"/>
      <c r="BE30" s="78"/>
      <c r="BF30" s="41"/>
      <c r="BG30" s="73">
        <f t="shared" si="14"/>
        <v>1919.9409551447588</v>
      </c>
      <c r="BH30" s="73"/>
      <c r="BI30" s="73"/>
      <c r="BJ30" s="73"/>
      <c r="BK30" s="41"/>
      <c r="BL30" s="74">
        <f t="shared" si="15"/>
        <v>429.10088844808672</v>
      </c>
      <c r="BM30" s="74"/>
      <c r="BN30" s="74"/>
      <c r="BO30" s="74"/>
      <c r="BP30" s="41"/>
      <c r="BQ30" s="74">
        <f t="shared" si="16"/>
        <v>9799.7515558359573</v>
      </c>
      <c r="BR30" s="74"/>
      <c r="BS30" s="74"/>
      <c r="BT30" s="74"/>
      <c r="BU30" s="41"/>
      <c r="BV30" s="75">
        <f t="shared" si="17"/>
        <v>3.4252011898879058</v>
      </c>
      <c r="BW30" s="75"/>
      <c r="BX30" s="75"/>
      <c r="BY30" s="75"/>
      <c r="BZ30" s="41"/>
      <c r="CA30" s="74">
        <f t="shared" si="18"/>
        <v>33566.120689655174</v>
      </c>
      <c r="CB30" s="74"/>
      <c r="CC30" s="74"/>
      <c r="CD30" s="74"/>
      <c r="CF30" s="9"/>
      <c r="CL30" s="64"/>
      <c r="EH30" s="1"/>
      <c r="EI30" s="50" t="s">
        <v>72</v>
      </c>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row>
    <row r="31" spans="2:186" ht="18" customHeight="1" x14ac:dyDescent="0.25">
      <c r="B31" s="7"/>
      <c r="AP31" s="9"/>
      <c r="AR31" s="7"/>
      <c r="AS31" s="77">
        <v>5</v>
      </c>
      <c r="AT31" s="77"/>
      <c r="AU31" s="77"/>
      <c r="AV31" s="41"/>
      <c r="AW31" s="78" t="str">
        <f t="shared" si="12"/>
        <v>n/a</v>
      </c>
      <c r="AX31" s="78"/>
      <c r="AY31" s="78"/>
      <c r="AZ31" s="78"/>
      <c r="BA31" s="41"/>
      <c r="BB31" s="78" t="str">
        <f t="shared" si="13"/>
        <v>n/a</v>
      </c>
      <c r="BC31" s="78"/>
      <c r="BD31" s="78"/>
      <c r="BE31" s="78"/>
      <c r="BF31" s="41"/>
      <c r="BG31" s="73" t="str">
        <f t="shared" si="14"/>
        <v>n/a</v>
      </c>
      <c r="BH31" s="73"/>
      <c r="BI31" s="73"/>
      <c r="BJ31" s="73"/>
      <c r="BK31" s="41"/>
      <c r="BL31" s="74" t="str">
        <f t="shared" si="15"/>
        <v>n/a</v>
      </c>
      <c r="BM31" s="74"/>
      <c r="BN31" s="74"/>
      <c r="BO31" s="74"/>
      <c r="BP31" s="41"/>
      <c r="BQ31" s="74" t="str">
        <f t="shared" si="16"/>
        <v>n/a</v>
      </c>
      <c r="BR31" s="74"/>
      <c r="BS31" s="74"/>
      <c r="BT31" s="74"/>
      <c r="BU31" s="41"/>
      <c r="BV31" s="75" t="str">
        <f t="shared" si="17"/>
        <v>n/a</v>
      </c>
      <c r="BW31" s="75"/>
      <c r="BX31" s="75"/>
      <c r="BY31" s="75"/>
      <c r="BZ31" s="41"/>
      <c r="CA31" s="74" t="str">
        <f t="shared" si="18"/>
        <v>n/a</v>
      </c>
      <c r="CB31" s="74"/>
      <c r="CC31" s="74"/>
      <c r="CD31" s="74"/>
      <c r="CF31" s="9"/>
      <c r="EH31" s="1"/>
      <c r="EI31" s="1"/>
      <c r="EJ31" s="1"/>
      <c r="EK31" s="1"/>
      <c r="EL31" s="1"/>
      <c r="EM31" s="1"/>
      <c r="EN31" s="1"/>
      <c r="EO31" s="1"/>
      <c r="EP31" s="1"/>
      <c r="EQ31" s="1"/>
      <c r="ER31" s="1"/>
    </row>
    <row r="32" spans="2:186" ht="18" customHeight="1" x14ac:dyDescent="0.25">
      <c r="B32" s="7"/>
      <c r="C32" s="41"/>
      <c r="D32" s="41"/>
      <c r="E32" s="41"/>
      <c r="F32" s="41"/>
      <c r="G32" s="41"/>
      <c r="H32" s="41"/>
      <c r="I32" s="41"/>
      <c r="J32" s="41"/>
      <c r="K32" s="41"/>
      <c r="L32" s="41"/>
      <c r="M32" s="41"/>
      <c r="N32" s="41"/>
      <c r="O32" s="41"/>
      <c r="P32" s="41"/>
      <c r="Q32" s="88" t="s">
        <v>31</v>
      </c>
      <c r="R32" s="88"/>
      <c r="S32" s="88"/>
      <c r="T32" s="88"/>
      <c r="U32" s="88"/>
      <c r="V32" s="88"/>
      <c r="W32" s="88"/>
      <c r="X32" s="88"/>
      <c r="Y32" s="88"/>
      <c r="Z32" s="88"/>
      <c r="AA32" s="88"/>
      <c r="AB32" s="88"/>
      <c r="AC32" s="88"/>
      <c r="AD32" s="88"/>
      <c r="AE32" s="88"/>
      <c r="AF32" s="88"/>
      <c r="AG32" s="88"/>
      <c r="AH32" s="88"/>
      <c r="AI32" s="88"/>
      <c r="AJ32" s="88"/>
      <c r="AK32" s="88"/>
      <c r="AL32" s="88"/>
      <c r="AM32" s="88"/>
      <c r="AN32" s="88"/>
      <c r="AO32" s="58"/>
      <c r="AP32" s="9"/>
      <c r="AR32" s="7"/>
      <c r="AS32" s="77">
        <v>6</v>
      </c>
      <c r="AT32" s="77"/>
      <c r="AU32" s="77"/>
      <c r="AV32" s="41"/>
      <c r="AW32" s="78" t="str">
        <f t="shared" si="12"/>
        <v>n/a</v>
      </c>
      <c r="AX32" s="78"/>
      <c r="AY32" s="78"/>
      <c r="AZ32" s="78"/>
      <c r="BA32" s="41"/>
      <c r="BB32" s="78" t="str">
        <f t="shared" si="13"/>
        <v>n/a</v>
      </c>
      <c r="BC32" s="78"/>
      <c r="BD32" s="78"/>
      <c r="BE32" s="78"/>
      <c r="BF32" s="41"/>
      <c r="BG32" s="73" t="str">
        <f t="shared" si="14"/>
        <v>n/a</v>
      </c>
      <c r="BH32" s="73"/>
      <c r="BI32" s="73"/>
      <c r="BJ32" s="73"/>
      <c r="BK32" s="41"/>
      <c r="BL32" s="74" t="str">
        <f t="shared" si="15"/>
        <v>n/a</v>
      </c>
      <c r="BM32" s="74"/>
      <c r="BN32" s="74"/>
      <c r="BO32" s="74"/>
      <c r="BP32" s="41"/>
      <c r="BQ32" s="74" t="str">
        <f t="shared" si="16"/>
        <v>n/a</v>
      </c>
      <c r="BR32" s="74"/>
      <c r="BS32" s="74"/>
      <c r="BT32" s="74"/>
      <c r="BU32" s="41"/>
      <c r="BV32" s="75" t="str">
        <f t="shared" si="17"/>
        <v>n/a</v>
      </c>
      <c r="BW32" s="75"/>
      <c r="BX32" s="75"/>
      <c r="BY32" s="75"/>
      <c r="BZ32" s="41"/>
      <c r="CA32" s="74" t="str">
        <f t="shared" si="18"/>
        <v>n/a</v>
      </c>
      <c r="CB32" s="74"/>
      <c r="CC32" s="74"/>
      <c r="CD32" s="74"/>
      <c r="CF32" s="9"/>
      <c r="EH32" s="1"/>
      <c r="EI32" s="97" t="s">
        <v>96</v>
      </c>
      <c r="EJ32" s="97"/>
      <c r="EK32" s="97"/>
      <c r="EL32" s="97"/>
      <c r="EM32" s="97"/>
      <c r="EN32" s="97"/>
      <c r="EO32" s="97"/>
      <c r="EP32" s="97"/>
      <c r="EQ32" s="97"/>
      <c r="ER32" s="97"/>
      <c r="ES32" s="97"/>
      <c r="ET32" s="97"/>
      <c r="EU32" s="97"/>
      <c r="EV32" s="97"/>
      <c r="EW32" s="97"/>
      <c r="EX32" s="97"/>
      <c r="EY32" s="97"/>
      <c r="EZ32" s="97"/>
      <c r="FA32" s="97"/>
      <c r="FB32" s="97"/>
      <c r="FC32" s="97"/>
      <c r="FD32" s="97"/>
      <c r="FE32" s="97"/>
      <c r="FF32" s="97"/>
      <c r="FG32" s="97"/>
      <c r="FH32" s="97"/>
      <c r="FI32" s="97"/>
      <c r="FJ32" s="97"/>
      <c r="FK32" s="97"/>
      <c r="FL32" s="97"/>
      <c r="FM32" s="97"/>
    </row>
    <row r="33" spans="2:215" ht="18" customHeight="1" x14ac:dyDescent="0.25">
      <c r="B33" s="7"/>
      <c r="C33" s="41"/>
      <c r="D33" s="41"/>
      <c r="E33" s="41"/>
      <c r="F33" s="42"/>
      <c r="G33" s="41"/>
      <c r="H33" s="41"/>
      <c r="I33" s="41"/>
      <c r="J33" s="43"/>
      <c r="K33" s="41"/>
      <c r="L33" s="41"/>
      <c r="M33" s="41"/>
      <c r="N33" s="41"/>
      <c r="O33" s="41"/>
      <c r="P33" s="43"/>
      <c r="Q33" s="41"/>
      <c r="R33" s="41"/>
      <c r="S33" s="41"/>
      <c r="T33" s="94" t="s">
        <v>78</v>
      </c>
      <c r="U33" s="94"/>
      <c r="V33" s="94"/>
      <c r="W33" s="93" t="s">
        <v>142</v>
      </c>
      <c r="X33" s="93"/>
      <c r="Y33" s="93"/>
      <c r="Z33" s="93"/>
      <c r="AA33" s="93"/>
      <c r="AB33" s="41"/>
      <c r="AC33" s="41"/>
      <c r="AD33" s="41"/>
      <c r="AE33" s="41"/>
      <c r="AF33" s="41"/>
      <c r="AG33" s="41"/>
      <c r="AH33" s="41"/>
      <c r="AI33" s="41"/>
      <c r="AJ33" s="41"/>
      <c r="AK33" s="41"/>
      <c r="AL33" s="94" t="s">
        <v>32</v>
      </c>
      <c r="AM33" s="94"/>
      <c r="AN33" s="94"/>
      <c r="AO33" s="94"/>
      <c r="AP33" s="9"/>
      <c r="AR33" s="7"/>
      <c r="AS33" s="77">
        <v>7</v>
      </c>
      <c r="AT33" s="77"/>
      <c r="AU33" s="77"/>
      <c r="AV33" s="41"/>
      <c r="AW33" s="78" t="str">
        <f t="shared" si="12"/>
        <v>n/a</v>
      </c>
      <c r="AX33" s="78"/>
      <c r="AY33" s="78"/>
      <c r="AZ33" s="78"/>
      <c r="BA33" s="41"/>
      <c r="BB33" s="78" t="str">
        <f t="shared" si="13"/>
        <v>n/a</v>
      </c>
      <c r="BC33" s="78"/>
      <c r="BD33" s="78"/>
      <c r="BE33" s="78"/>
      <c r="BF33" s="41"/>
      <c r="BG33" s="73" t="str">
        <f t="shared" si="14"/>
        <v>n/a</v>
      </c>
      <c r="BH33" s="73"/>
      <c r="BI33" s="73"/>
      <c r="BJ33" s="73"/>
      <c r="BK33" s="41"/>
      <c r="BL33" s="74" t="str">
        <f t="shared" si="15"/>
        <v>n/a</v>
      </c>
      <c r="BM33" s="74"/>
      <c r="BN33" s="74"/>
      <c r="BO33" s="74"/>
      <c r="BP33" s="41"/>
      <c r="BQ33" s="74" t="str">
        <f t="shared" si="16"/>
        <v>n/a</v>
      </c>
      <c r="BR33" s="74"/>
      <c r="BS33" s="74"/>
      <c r="BT33" s="74"/>
      <c r="BU33" s="41"/>
      <c r="BV33" s="75" t="str">
        <f t="shared" si="17"/>
        <v>n/a</v>
      </c>
      <c r="BW33" s="75"/>
      <c r="BX33" s="75"/>
      <c r="BY33" s="75"/>
      <c r="BZ33" s="41"/>
      <c r="CA33" s="74" t="str">
        <f t="shared" si="18"/>
        <v>n/a</v>
      </c>
      <c r="CB33" s="74"/>
      <c r="CC33" s="74"/>
      <c r="CD33" s="74"/>
      <c r="CF33" s="9"/>
      <c r="CI33" s="96" t="s">
        <v>128</v>
      </c>
      <c r="CJ33" s="96"/>
      <c r="CK33" s="96"/>
      <c r="CL33" s="96"/>
      <c r="EH33" s="1"/>
      <c r="EI33" s="50"/>
      <c r="EJ33" s="50"/>
      <c r="EK33" s="50"/>
      <c r="EL33" s="98" t="s">
        <v>71</v>
      </c>
      <c r="EM33" s="98"/>
      <c r="EN33" s="98"/>
      <c r="EO33" s="98"/>
      <c r="EP33" s="98"/>
      <c r="EQ33" s="98"/>
      <c r="ER33" s="98" t="s">
        <v>97</v>
      </c>
      <c r="ES33" s="98"/>
      <c r="ET33" s="98"/>
      <c r="EU33" s="98"/>
      <c r="EV33" s="98"/>
      <c r="EW33" s="98"/>
      <c r="EX33" s="83" t="s">
        <v>70</v>
      </c>
      <c r="EY33" s="83"/>
      <c r="EZ33" s="83"/>
      <c r="FA33" s="83"/>
      <c r="FB33" s="83"/>
      <c r="FC33" s="83"/>
      <c r="FD33" s="98" t="s">
        <v>73</v>
      </c>
      <c r="FE33" s="98"/>
      <c r="FF33" s="98"/>
      <c r="FG33" s="98"/>
      <c r="FH33" s="98"/>
      <c r="FI33" s="98" t="s">
        <v>74</v>
      </c>
      <c r="FJ33" s="98"/>
      <c r="FK33" s="98"/>
      <c r="FL33" s="98"/>
      <c r="FM33" s="98"/>
    </row>
    <row r="34" spans="2:215" ht="18" customHeight="1" x14ac:dyDescent="0.25">
      <c r="B34" s="7"/>
      <c r="C34" s="41"/>
      <c r="D34" s="41"/>
      <c r="E34" s="41"/>
      <c r="F34" s="42"/>
      <c r="G34" s="41"/>
      <c r="H34" s="94" t="s">
        <v>79</v>
      </c>
      <c r="I34" s="94"/>
      <c r="J34" s="94"/>
      <c r="K34" s="94" t="s">
        <v>33</v>
      </c>
      <c r="L34" s="94"/>
      <c r="M34" s="94"/>
      <c r="N34" s="94"/>
      <c r="O34" s="94"/>
      <c r="P34" s="94" t="s">
        <v>110</v>
      </c>
      <c r="Q34" s="94"/>
      <c r="R34" s="94"/>
      <c r="S34" s="94"/>
      <c r="T34" s="94"/>
      <c r="U34" s="94"/>
      <c r="V34" s="94"/>
      <c r="W34" s="94"/>
      <c r="X34" s="94"/>
      <c r="Y34" s="94"/>
      <c r="Z34" s="94"/>
      <c r="AA34" s="94"/>
      <c r="AB34" s="94" t="s">
        <v>111</v>
      </c>
      <c r="AC34" s="94"/>
      <c r="AD34" s="94"/>
      <c r="AE34" s="94"/>
      <c r="AF34" s="94"/>
      <c r="AG34" s="94"/>
      <c r="AH34" s="94" t="s">
        <v>77</v>
      </c>
      <c r="AI34" s="94"/>
      <c r="AJ34" s="94"/>
      <c r="AK34" s="94"/>
      <c r="AL34" s="94"/>
      <c r="AM34" s="94"/>
      <c r="AN34" s="94"/>
      <c r="AO34" s="94"/>
      <c r="AP34" s="9"/>
      <c r="AR34" s="7"/>
      <c r="AS34" s="77">
        <v>8</v>
      </c>
      <c r="AT34" s="77"/>
      <c r="AU34" s="77"/>
      <c r="AV34" s="41"/>
      <c r="AW34" s="78" t="str">
        <f t="shared" si="12"/>
        <v>n/a</v>
      </c>
      <c r="AX34" s="78"/>
      <c r="AY34" s="78"/>
      <c r="AZ34" s="78"/>
      <c r="BA34" s="41"/>
      <c r="BB34" s="78" t="str">
        <f t="shared" si="13"/>
        <v>n/a</v>
      </c>
      <c r="BC34" s="78"/>
      <c r="BD34" s="78"/>
      <c r="BE34" s="78"/>
      <c r="BF34" s="41"/>
      <c r="BG34" s="73" t="str">
        <f t="shared" si="14"/>
        <v>n/a</v>
      </c>
      <c r="BH34" s="73"/>
      <c r="BI34" s="73"/>
      <c r="BJ34" s="73"/>
      <c r="BK34" s="41"/>
      <c r="BL34" s="74" t="str">
        <f t="shared" si="15"/>
        <v>n/a</v>
      </c>
      <c r="BM34" s="74"/>
      <c r="BN34" s="74"/>
      <c r="BO34" s="74"/>
      <c r="BP34" s="41"/>
      <c r="BQ34" s="74" t="str">
        <f t="shared" si="16"/>
        <v>n/a</v>
      </c>
      <c r="BR34" s="74"/>
      <c r="BS34" s="74"/>
      <c r="BT34" s="74"/>
      <c r="BU34" s="41"/>
      <c r="BV34" s="75" t="str">
        <f t="shared" si="17"/>
        <v>n/a</v>
      </c>
      <c r="BW34" s="75"/>
      <c r="BX34" s="75"/>
      <c r="BY34" s="75"/>
      <c r="BZ34" s="41"/>
      <c r="CA34" s="74" t="str">
        <f t="shared" si="18"/>
        <v>n/a</v>
      </c>
      <c r="CB34" s="74"/>
      <c r="CC34" s="74"/>
      <c r="CD34" s="74"/>
      <c r="CF34" s="9"/>
      <c r="CI34" s="96"/>
      <c r="CJ34" s="96"/>
      <c r="CK34" s="96"/>
      <c r="CL34" s="96"/>
      <c r="EH34" s="1"/>
      <c r="EI34" s="50"/>
      <c r="EJ34" s="50"/>
      <c r="EK34" s="50"/>
      <c r="EL34" s="98"/>
      <c r="EM34" s="98"/>
      <c r="EN34" s="98"/>
      <c r="EO34" s="98"/>
      <c r="EP34" s="98"/>
      <c r="EQ34" s="98"/>
      <c r="ER34" s="98"/>
      <c r="ES34" s="98"/>
      <c r="ET34" s="98"/>
      <c r="EU34" s="98"/>
      <c r="EV34" s="98"/>
      <c r="EW34" s="98"/>
      <c r="EX34" s="83"/>
      <c r="EY34" s="83"/>
      <c r="EZ34" s="83"/>
      <c r="FA34" s="83"/>
      <c r="FB34" s="83"/>
      <c r="FC34" s="83"/>
      <c r="FD34" s="98"/>
      <c r="FE34" s="98"/>
      <c r="FF34" s="98"/>
      <c r="FG34" s="98"/>
      <c r="FH34" s="98"/>
      <c r="FI34" s="98"/>
      <c r="FJ34" s="98"/>
      <c r="FK34" s="98"/>
      <c r="FL34" s="98"/>
      <c r="FM34" s="98"/>
    </row>
    <row r="35" spans="2:215" ht="18" customHeight="1" x14ac:dyDescent="0.25">
      <c r="B35" s="7"/>
      <c r="C35" s="94" t="s">
        <v>107</v>
      </c>
      <c r="D35" s="94"/>
      <c r="E35" s="94" t="s">
        <v>28</v>
      </c>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
      <c r="AR35" s="7"/>
      <c r="CF35" s="9"/>
      <c r="CI35" s="96"/>
      <c r="CJ35" s="96"/>
      <c r="CK35" s="96"/>
      <c r="CL35" s="96"/>
      <c r="EH35" s="1"/>
      <c r="EI35" s="1"/>
      <c r="EJ35" s="1"/>
      <c r="EK35" s="1"/>
      <c r="EL35" s="98"/>
      <c r="EM35" s="98"/>
      <c r="EN35" s="98"/>
      <c r="EO35" s="98"/>
      <c r="EP35" s="98"/>
      <c r="EQ35" s="98"/>
      <c r="ER35" s="98"/>
      <c r="ES35" s="98"/>
      <c r="ET35" s="98"/>
      <c r="EU35" s="98"/>
      <c r="EV35" s="98"/>
      <c r="EW35" s="98"/>
      <c r="EX35" s="83"/>
      <c r="EY35" s="83"/>
      <c r="EZ35" s="83"/>
      <c r="FA35" s="83"/>
      <c r="FB35" s="83"/>
      <c r="FC35" s="83"/>
      <c r="FD35" s="98"/>
      <c r="FE35" s="98"/>
      <c r="FF35" s="98"/>
      <c r="FG35" s="98"/>
      <c r="FH35" s="98"/>
      <c r="FI35" s="98"/>
      <c r="FJ35" s="98"/>
      <c r="FK35" s="98"/>
      <c r="FL35" s="98"/>
      <c r="FM35" s="98"/>
      <c r="HC35" s="72"/>
      <c r="HD35" s="72"/>
      <c r="HE35" s="72"/>
      <c r="HF35" s="72"/>
      <c r="HG35" s="72"/>
    </row>
    <row r="36" spans="2:215" ht="18" customHeight="1" x14ac:dyDescent="0.25">
      <c r="B36" s="7"/>
      <c r="C36" s="95"/>
      <c r="D36" s="95"/>
      <c r="E36" s="94"/>
      <c r="F36" s="94"/>
      <c r="G36" s="94"/>
      <c r="H36" s="94"/>
      <c r="I36" s="94"/>
      <c r="J36" s="94"/>
      <c r="K36" s="95"/>
      <c r="L36" s="95"/>
      <c r="M36" s="95"/>
      <c r="N36" s="95"/>
      <c r="O36" s="95"/>
      <c r="P36" s="95"/>
      <c r="Q36" s="95"/>
      <c r="R36" s="95"/>
      <c r="S36" s="95"/>
      <c r="T36" s="94"/>
      <c r="U36" s="94"/>
      <c r="V36" s="94"/>
      <c r="W36" s="95"/>
      <c r="X36" s="95"/>
      <c r="Y36" s="95"/>
      <c r="Z36" s="95"/>
      <c r="AA36" s="95"/>
      <c r="AB36" s="95"/>
      <c r="AC36" s="95"/>
      <c r="AD36" s="95"/>
      <c r="AE36" s="95"/>
      <c r="AF36" s="95"/>
      <c r="AG36" s="95"/>
      <c r="AH36" s="94"/>
      <c r="AI36" s="94"/>
      <c r="AJ36" s="94"/>
      <c r="AK36" s="94"/>
      <c r="AL36" s="94"/>
      <c r="AM36" s="94"/>
      <c r="AN36" s="94"/>
      <c r="AO36" s="94"/>
      <c r="AP36" s="9"/>
      <c r="AR36" s="7"/>
      <c r="AS36" s="54" t="s">
        <v>130</v>
      </c>
      <c r="AT36" s="54"/>
      <c r="AU36" s="54"/>
      <c r="AV36" s="19"/>
      <c r="AW36" s="19"/>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9"/>
      <c r="CI36" s="96"/>
      <c r="CJ36" s="96"/>
      <c r="CK36" s="96"/>
      <c r="CL36" s="96"/>
      <c r="EH36" s="1"/>
      <c r="EI36" s="83" t="s">
        <v>62</v>
      </c>
      <c r="EJ36" s="83"/>
      <c r="EK36" s="83"/>
      <c r="EL36" s="81">
        <f t="shared" ref="EL36:EL43" si="19">IF(E37&gt;0,H37+$AM$30+$AM$29,0)</f>
        <v>43.5</v>
      </c>
      <c r="EM36" s="80"/>
      <c r="EN36" s="80"/>
      <c r="EO36" s="80"/>
      <c r="EP36" s="80"/>
      <c r="EQ36" s="80"/>
      <c r="ER36" s="82">
        <f>_xlfn.LET(_xlpm.s,
IF(EL43&lt;&gt;0,1/EL43,0)+
IF(EL37&lt;&gt;0,1/EL37,0)+
IF(EL38&lt;&gt;0,1/EL38,0)+
IF(EL39&lt;&gt;0,1/EL39,0)+
IF(EL40&lt;&gt;0,1/EL40,0)+
IF(EL41&lt;&gt;0,1/EL41,0)+
IF(EL42&lt;&gt;0,1/EL42,0),
IF(_xlpm.s=0,0,1/_xlpm.s))</f>
        <v>14.5</v>
      </c>
      <c r="ES36" s="82"/>
      <c r="ET36" s="82"/>
      <c r="EU36" s="82"/>
      <c r="EV36" s="82"/>
      <c r="EW36" s="82"/>
      <c r="EX36" s="82">
        <f>ER36+EL36</f>
        <v>58</v>
      </c>
      <c r="EY36" s="82"/>
      <c r="EZ36" s="82"/>
      <c r="FA36" s="82"/>
      <c r="FB36" s="82"/>
      <c r="FC36" s="82"/>
      <c r="FD36" s="79">
        <f t="shared" ref="FD36:FD43" si="20">BB13</f>
        <v>47.457485130267244</v>
      </c>
      <c r="FE36" s="80"/>
      <c r="FF36" s="80"/>
      <c r="FG36" s="80"/>
      <c r="FH36" s="80"/>
      <c r="FI36" s="79">
        <f>IF(FD36="n/a","n/a",SUM(FD37:FH43))</f>
        <v>474.57485130267247</v>
      </c>
      <c r="FJ36" s="80"/>
      <c r="FK36" s="80"/>
      <c r="FL36" s="80"/>
      <c r="FM36" s="80"/>
      <c r="HC36" s="72"/>
      <c r="HD36" s="72"/>
      <c r="HE36" s="72"/>
      <c r="HF36" s="72"/>
      <c r="HG36" s="72"/>
    </row>
    <row r="37" spans="2:215" ht="18" customHeight="1" x14ac:dyDescent="0.25">
      <c r="B37" s="7"/>
      <c r="C37" s="111">
        <v>1</v>
      </c>
      <c r="D37" s="111"/>
      <c r="E37" s="121">
        <v>1000</v>
      </c>
      <c r="F37" s="121"/>
      <c r="G37" s="121"/>
      <c r="H37" s="121">
        <v>40</v>
      </c>
      <c r="I37" s="121"/>
      <c r="J37" s="121"/>
      <c r="K37" s="111" t="s">
        <v>106</v>
      </c>
      <c r="L37" s="111"/>
      <c r="M37" s="111"/>
      <c r="N37" s="111"/>
      <c r="O37" s="111"/>
      <c r="P37" s="111">
        <v>200</v>
      </c>
      <c r="Q37" s="111"/>
      <c r="R37" s="111"/>
      <c r="S37" s="111"/>
      <c r="T37" s="125">
        <v>6</v>
      </c>
      <c r="U37" s="126"/>
      <c r="V37" s="127"/>
      <c r="W37" s="112">
        <v>15000</v>
      </c>
      <c r="X37" s="112"/>
      <c r="Y37" s="112"/>
      <c r="Z37" s="112"/>
      <c r="AA37" s="112"/>
      <c r="AB37" s="137">
        <v>200</v>
      </c>
      <c r="AC37" s="137"/>
      <c r="AD37" s="137"/>
      <c r="AE37" s="137"/>
      <c r="AF37" s="137"/>
      <c r="AG37" s="137"/>
      <c r="AH37" s="119">
        <v>12000</v>
      </c>
      <c r="AI37" s="119"/>
      <c r="AJ37" s="119"/>
      <c r="AK37" s="119"/>
      <c r="AL37" s="119">
        <v>6</v>
      </c>
      <c r="AM37" s="119"/>
      <c r="AN37" s="119"/>
      <c r="AO37" s="119"/>
      <c r="AP37" s="9"/>
      <c r="AR37" s="7"/>
      <c r="AS37" s="51" t="s">
        <v>92</v>
      </c>
      <c r="AT37" s="51"/>
      <c r="AU37" s="51"/>
      <c r="AV37" s="55"/>
      <c r="AW37" s="55"/>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F37" s="9"/>
      <c r="CI37" s="80">
        <f>AL37*AH37</f>
        <v>72000</v>
      </c>
      <c r="CJ37" s="80"/>
      <c r="CK37" s="80"/>
      <c r="CL37" s="80"/>
      <c r="CO37" s="80" t="str">
        <f>K37</f>
        <v>Vac Switch</v>
      </c>
      <c r="CP37" s="80"/>
      <c r="CQ37" s="80"/>
      <c r="CR37" s="80"/>
      <c r="CS37" s="80"/>
      <c r="EH37" s="1"/>
      <c r="EI37" s="83" t="s">
        <v>63</v>
      </c>
      <c r="EJ37" s="83"/>
      <c r="EK37" s="83"/>
      <c r="EL37" s="81">
        <f t="shared" si="19"/>
        <v>43.5</v>
      </c>
      <c r="EM37" s="80"/>
      <c r="EN37" s="80"/>
      <c r="EO37" s="80"/>
      <c r="EP37" s="80"/>
      <c r="EQ37" s="80"/>
      <c r="ER37" s="82">
        <f>_xlfn.LET(_xlpm.s,
IF(EL43&lt;&gt;0,1/EL43,0)+
IF(EL36&lt;&gt;0,1/EL36,0)+
IF(EL38&lt;&gt;0,1/EL38,0)+
IF(EL39&lt;&gt;0,1/EL39,0)+
IF(EL40&lt;&gt;0,1/EL40,0)+
IF(EL41&lt;&gt;0,1/EL41,0)+
IF(EL42&lt;&gt;0,1/EL42,0),
IF(_xlpm.s=0,0,1/_xlpm.s))</f>
        <v>14.5</v>
      </c>
      <c r="ES37" s="82"/>
      <c r="ET37" s="82"/>
      <c r="EU37" s="82"/>
      <c r="EV37" s="82"/>
      <c r="EW37" s="82"/>
      <c r="EX37" s="82">
        <f t="shared" ref="EX37:EX43" si="21">ER37+EL37</f>
        <v>58</v>
      </c>
      <c r="EY37" s="82"/>
      <c r="EZ37" s="82"/>
      <c r="FA37" s="82"/>
      <c r="FB37" s="82"/>
      <c r="FC37" s="82"/>
      <c r="FD37" s="79">
        <f t="shared" si="20"/>
        <v>94.914970260534488</v>
      </c>
      <c r="FE37" s="80"/>
      <c r="FF37" s="80"/>
      <c r="FG37" s="80"/>
      <c r="FH37" s="80"/>
      <c r="FI37" s="79">
        <f>IF(FD37="n/a","n/a",SUM(FD36,FD38:FH43))</f>
        <v>427.11736617240518</v>
      </c>
      <c r="FJ37" s="80"/>
      <c r="FK37" s="80"/>
      <c r="FL37" s="80"/>
      <c r="FM37" s="80"/>
      <c r="FQ37" s="80"/>
      <c r="FR37" s="80"/>
      <c r="FS37" s="80"/>
      <c r="FT37" s="80"/>
      <c r="FU37" s="80"/>
      <c r="HC37" s="72"/>
      <c r="HD37" s="72"/>
      <c r="HE37" s="72"/>
      <c r="HF37" s="72"/>
      <c r="HG37" s="72"/>
    </row>
    <row r="38" spans="2:215" ht="18" customHeight="1" x14ac:dyDescent="0.25">
      <c r="B38" s="7"/>
      <c r="C38" s="111">
        <v>2</v>
      </c>
      <c r="D38" s="111"/>
      <c r="E38" s="112">
        <v>2000</v>
      </c>
      <c r="F38" s="112"/>
      <c r="G38" s="112"/>
      <c r="H38" s="112">
        <v>40</v>
      </c>
      <c r="I38" s="112"/>
      <c r="J38" s="112"/>
      <c r="K38" s="111" t="s">
        <v>106</v>
      </c>
      <c r="L38" s="111"/>
      <c r="M38" s="111"/>
      <c r="N38" s="111"/>
      <c r="O38" s="111"/>
      <c r="P38" s="111">
        <v>200</v>
      </c>
      <c r="Q38" s="111"/>
      <c r="R38" s="111"/>
      <c r="S38" s="111"/>
      <c r="T38" s="116">
        <v>6</v>
      </c>
      <c r="U38" s="117"/>
      <c r="V38" s="118"/>
      <c r="W38" s="112">
        <v>15000</v>
      </c>
      <c r="X38" s="112"/>
      <c r="Y38" s="112"/>
      <c r="Z38" s="112"/>
      <c r="AA38" s="112"/>
      <c r="AB38" s="137">
        <v>200</v>
      </c>
      <c r="AC38" s="137"/>
      <c r="AD38" s="137"/>
      <c r="AE38" s="137"/>
      <c r="AF38" s="137"/>
      <c r="AG38" s="137"/>
      <c r="AH38" s="113">
        <v>12000</v>
      </c>
      <c r="AI38" s="114"/>
      <c r="AJ38" s="114"/>
      <c r="AK38" s="115"/>
      <c r="AL38" s="111">
        <v>6</v>
      </c>
      <c r="AM38" s="111"/>
      <c r="AN38" s="111"/>
      <c r="AO38" s="111"/>
      <c r="AP38" s="9"/>
      <c r="AR38" s="7"/>
      <c r="AS38" s="51" t="s">
        <v>90</v>
      </c>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31"/>
      <c r="CD38" s="31"/>
      <c r="CE38" s="31"/>
      <c r="CF38" s="9"/>
      <c r="CI38" s="80">
        <f t="shared" ref="CI38:CI44" si="22">AL38*AH38</f>
        <v>72000</v>
      </c>
      <c r="CJ38" s="80"/>
      <c r="CK38" s="80"/>
      <c r="CL38" s="80"/>
      <c r="CO38" s="80" t="str">
        <f t="shared" ref="CO38:CO42" si="23">K38</f>
        <v>Vac Switch</v>
      </c>
      <c r="CP38" s="80"/>
      <c r="CQ38" s="80"/>
      <c r="CR38" s="80"/>
      <c r="CS38" s="80"/>
      <c r="EH38" s="1"/>
      <c r="EI38" s="83" t="s">
        <v>64</v>
      </c>
      <c r="EJ38" s="83"/>
      <c r="EK38" s="83"/>
      <c r="EL38" s="81">
        <f t="shared" si="19"/>
        <v>43.5</v>
      </c>
      <c r="EM38" s="80"/>
      <c r="EN38" s="80"/>
      <c r="EO38" s="80"/>
      <c r="EP38" s="80"/>
      <c r="EQ38" s="80"/>
      <c r="ER38" s="82">
        <f>_xlfn.LET(_xlpm.s,
IF(EL43&lt;&gt;0,1/EL43,0)+
IF(EL37&lt;&gt;0,1/EL37,0)+
IF(EL36&lt;&gt;0,1/EL36,0)+
IF(EL39&lt;&gt;0,1/EL39,0)+
IF(EL40&lt;&gt;0,1/EL40,0)+
IF(EL41&lt;&gt;0,1/EL41,0)+
IF(EL42&lt;&gt;0,1/EL42,0),
IF(_xlpm.s=0,0,1/_xlpm.s))</f>
        <v>14.5</v>
      </c>
      <c r="ES38" s="82"/>
      <c r="ET38" s="82"/>
      <c r="EU38" s="82"/>
      <c r="EV38" s="82"/>
      <c r="EW38" s="82"/>
      <c r="EX38" s="82">
        <f t="shared" si="21"/>
        <v>58</v>
      </c>
      <c r="EY38" s="82"/>
      <c r="EZ38" s="82"/>
      <c r="FA38" s="82"/>
      <c r="FB38" s="82"/>
      <c r="FC38" s="82"/>
      <c r="FD38" s="79">
        <f t="shared" si="20"/>
        <v>189.82994052106898</v>
      </c>
      <c r="FE38" s="80"/>
      <c r="FF38" s="80"/>
      <c r="FG38" s="80"/>
      <c r="FH38" s="80"/>
      <c r="FI38" s="79">
        <f>IF(FD38="n/a","n/a",SUM(FD36:FH37,FD39:FH43))</f>
        <v>332.20239591187072</v>
      </c>
      <c r="FJ38" s="80"/>
      <c r="FK38" s="80"/>
      <c r="FL38" s="80"/>
      <c r="FM38" s="80"/>
      <c r="HC38" s="72"/>
      <c r="HD38" s="72"/>
      <c r="HE38" s="72"/>
      <c r="HF38" s="72"/>
      <c r="HG38" s="72"/>
    </row>
    <row r="39" spans="2:215" ht="18" customHeight="1" x14ac:dyDescent="0.25">
      <c r="B39" s="7"/>
      <c r="C39" s="111">
        <v>3</v>
      </c>
      <c r="D39" s="111"/>
      <c r="E39" s="112">
        <v>4000</v>
      </c>
      <c r="F39" s="112"/>
      <c r="G39" s="112"/>
      <c r="H39" s="112">
        <v>40</v>
      </c>
      <c r="I39" s="112"/>
      <c r="J39" s="112"/>
      <c r="K39" s="111" t="s">
        <v>106</v>
      </c>
      <c r="L39" s="111"/>
      <c r="M39" s="111"/>
      <c r="N39" s="111"/>
      <c r="O39" s="111"/>
      <c r="P39" s="111">
        <v>200</v>
      </c>
      <c r="Q39" s="111"/>
      <c r="R39" s="111"/>
      <c r="S39" s="111"/>
      <c r="T39" s="116">
        <v>6</v>
      </c>
      <c r="U39" s="117"/>
      <c r="V39" s="118"/>
      <c r="W39" s="112">
        <v>15000</v>
      </c>
      <c r="X39" s="112"/>
      <c r="Y39" s="112"/>
      <c r="Z39" s="112"/>
      <c r="AA39" s="112"/>
      <c r="AB39" s="137">
        <v>200</v>
      </c>
      <c r="AC39" s="137"/>
      <c r="AD39" s="137"/>
      <c r="AE39" s="137"/>
      <c r="AF39" s="137"/>
      <c r="AG39" s="137"/>
      <c r="AH39" s="113">
        <v>12000</v>
      </c>
      <c r="AI39" s="114"/>
      <c r="AJ39" s="114"/>
      <c r="AK39" s="115"/>
      <c r="AL39" s="111">
        <v>6</v>
      </c>
      <c r="AM39" s="111"/>
      <c r="AN39" s="111"/>
      <c r="AO39" s="111"/>
      <c r="AP39" s="9"/>
      <c r="AR39" s="7"/>
      <c r="AS39" s="52" t="s">
        <v>93</v>
      </c>
      <c r="AT39" s="51"/>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31"/>
      <c r="CD39" s="31"/>
      <c r="CE39" s="31"/>
      <c r="CF39" s="9"/>
      <c r="CI39" s="80">
        <f t="shared" si="22"/>
        <v>72000</v>
      </c>
      <c r="CJ39" s="80"/>
      <c r="CK39" s="80"/>
      <c r="CL39" s="80"/>
      <c r="CO39" s="80" t="str">
        <f t="shared" si="23"/>
        <v>Vac Switch</v>
      </c>
      <c r="CP39" s="80"/>
      <c r="CQ39" s="80"/>
      <c r="CR39" s="80"/>
      <c r="CS39" s="80"/>
      <c r="EH39" s="1"/>
      <c r="EI39" s="83" t="s">
        <v>65</v>
      </c>
      <c r="EJ39" s="83"/>
      <c r="EK39" s="83"/>
      <c r="EL39" s="81">
        <f t="shared" si="19"/>
        <v>43.5</v>
      </c>
      <c r="EM39" s="80"/>
      <c r="EN39" s="80"/>
      <c r="EO39" s="80"/>
      <c r="EP39" s="80"/>
      <c r="EQ39" s="80"/>
      <c r="ER39" s="82">
        <f>_xlfn.LET(_xlpm.s,
IF(EL43&lt;&gt;0,1/EL43,0)+
IF(EL37&lt;&gt;0,1/EL37,0)+
IF(EL38&lt;&gt;0,1/EL38,0)+
IF(EL36&lt;&gt;0,1/EL36,0)+
IF(EL40&lt;&gt;0,1/EL40,0)+
IF(EL41&lt;&gt;0,1/EL41,0)+
IF(EL42&lt;&gt;0,1/EL42,0),
IF(_xlpm.s=0,0,1/_xlpm.s))</f>
        <v>14.5</v>
      </c>
      <c r="ES39" s="82"/>
      <c r="ET39" s="82"/>
      <c r="EU39" s="82"/>
      <c r="EV39" s="82"/>
      <c r="EW39" s="82"/>
      <c r="EX39" s="82">
        <f t="shared" si="21"/>
        <v>58</v>
      </c>
      <c r="EY39" s="82"/>
      <c r="EZ39" s="82"/>
      <c r="FA39" s="82"/>
      <c r="FB39" s="82"/>
      <c r="FC39" s="82"/>
      <c r="FD39" s="79">
        <f t="shared" si="20"/>
        <v>189.82994052106898</v>
      </c>
      <c r="FE39" s="80"/>
      <c r="FF39" s="80"/>
      <c r="FG39" s="80"/>
      <c r="FH39" s="80"/>
      <c r="FI39" s="79">
        <f>IF(FD39="n/a","n/a",SUM(FD36:FH38,FD40:FH43))</f>
        <v>332.20239591187072</v>
      </c>
      <c r="FJ39" s="80"/>
      <c r="FK39" s="80"/>
      <c r="FL39" s="80"/>
      <c r="FM39" s="80"/>
      <c r="HC39" s="72"/>
      <c r="HD39" s="72"/>
      <c r="HE39" s="72"/>
      <c r="HF39" s="72"/>
      <c r="HG39" s="72"/>
    </row>
    <row r="40" spans="2:215" ht="18" customHeight="1" x14ac:dyDescent="0.25">
      <c r="B40" s="7"/>
      <c r="C40" s="111">
        <v>4</v>
      </c>
      <c r="D40" s="111"/>
      <c r="E40" s="112">
        <v>4000</v>
      </c>
      <c r="F40" s="112"/>
      <c r="G40" s="112"/>
      <c r="H40" s="112">
        <v>40</v>
      </c>
      <c r="I40" s="112"/>
      <c r="J40" s="112"/>
      <c r="K40" s="111" t="s">
        <v>106</v>
      </c>
      <c r="L40" s="111"/>
      <c r="M40" s="111"/>
      <c r="N40" s="111"/>
      <c r="O40" s="111"/>
      <c r="P40" s="111">
        <v>200</v>
      </c>
      <c r="Q40" s="111"/>
      <c r="R40" s="111"/>
      <c r="S40" s="111"/>
      <c r="T40" s="116">
        <v>6</v>
      </c>
      <c r="U40" s="117"/>
      <c r="V40" s="118"/>
      <c r="W40" s="112">
        <v>15000</v>
      </c>
      <c r="X40" s="112"/>
      <c r="Y40" s="112"/>
      <c r="Z40" s="112"/>
      <c r="AA40" s="112"/>
      <c r="AB40" s="137">
        <v>200</v>
      </c>
      <c r="AC40" s="137"/>
      <c r="AD40" s="137"/>
      <c r="AE40" s="137"/>
      <c r="AF40" s="137"/>
      <c r="AG40" s="137"/>
      <c r="AH40" s="113">
        <v>12000</v>
      </c>
      <c r="AI40" s="114"/>
      <c r="AJ40" s="114"/>
      <c r="AK40" s="115"/>
      <c r="AL40" s="111">
        <v>6</v>
      </c>
      <c r="AM40" s="111"/>
      <c r="AN40" s="111"/>
      <c r="AO40" s="111"/>
      <c r="AP40" s="9"/>
      <c r="AR40" s="7"/>
      <c r="AS40" s="51" t="s">
        <v>91</v>
      </c>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F40" s="9"/>
      <c r="CI40" s="80">
        <f t="shared" si="22"/>
        <v>72000</v>
      </c>
      <c r="CJ40" s="80"/>
      <c r="CK40" s="80"/>
      <c r="CL40" s="80"/>
      <c r="CO40" s="80" t="str">
        <f t="shared" si="23"/>
        <v>Vac Switch</v>
      </c>
      <c r="CP40" s="80"/>
      <c r="CQ40" s="80"/>
      <c r="CR40" s="80"/>
      <c r="CS40" s="80"/>
      <c r="EH40" s="1"/>
      <c r="EI40" s="83" t="s">
        <v>66</v>
      </c>
      <c r="EJ40" s="83"/>
      <c r="EK40" s="83"/>
      <c r="EL40" s="81">
        <f t="shared" si="19"/>
        <v>0</v>
      </c>
      <c r="EM40" s="80"/>
      <c r="EN40" s="80"/>
      <c r="EO40" s="80"/>
      <c r="EP40" s="80"/>
      <c r="EQ40" s="80"/>
      <c r="ER40" s="82">
        <f>_xlfn.LET(_xlpm.s,
IF(EL43&lt;&gt;0,1/EL43,0)+
IF(EL37&lt;&gt;0,1/EL37,0)+
IF(EL38&lt;&gt;0,1/EL38,0)+
IF(EL39&lt;&gt;0,1/EL39,0)+
IF(EL36&lt;&gt;0,1/EL36,0)+
IF(EL41&lt;&gt;0,1/EL41,0)+
IF(EL42&lt;&gt;0,1/EL42,0),
IF(_xlpm.s=0,0,1/_xlpm.s))</f>
        <v>10.875</v>
      </c>
      <c r="ES40" s="82"/>
      <c r="ET40" s="82"/>
      <c r="EU40" s="82"/>
      <c r="EV40" s="82"/>
      <c r="EW40" s="82"/>
      <c r="EX40" s="82">
        <f t="shared" si="21"/>
        <v>10.875</v>
      </c>
      <c r="EY40" s="82"/>
      <c r="EZ40" s="82"/>
      <c r="FA40" s="82"/>
      <c r="FB40" s="82"/>
      <c r="FC40" s="82"/>
      <c r="FD40" s="79" t="str">
        <f t="shared" si="20"/>
        <v>n/a</v>
      </c>
      <c r="FE40" s="80"/>
      <c r="FF40" s="80"/>
      <c r="FG40" s="80"/>
      <c r="FH40" s="80"/>
      <c r="FI40" s="79" t="str">
        <f>IF(FD40="n/a","n/a",SUM(FD36:FH39,FD41:FH43))</f>
        <v>n/a</v>
      </c>
      <c r="FJ40" s="80"/>
      <c r="FK40" s="80"/>
      <c r="FL40" s="80"/>
      <c r="FM40" s="80"/>
      <c r="HC40" s="72"/>
      <c r="HD40" s="72"/>
      <c r="HE40" s="72"/>
      <c r="HF40" s="72"/>
      <c r="HG40" s="72"/>
    </row>
    <row r="41" spans="2:215" ht="18" customHeight="1" x14ac:dyDescent="0.25">
      <c r="B41" s="7"/>
      <c r="C41" s="111">
        <v>5</v>
      </c>
      <c r="D41" s="111"/>
      <c r="E41" s="112">
        <v>0</v>
      </c>
      <c r="F41" s="112"/>
      <c r="G41" s="112"/>
      <c r="H41" s="112">
        <v>0</v>
      </c>
      <c r="I41" s="112"/>
      <c r="J41" s="112"/>
      <c r="K41" s="111" t="s">
        <v>106</v>
      </c>
      <c r="L41" s="111"/>
      <c r="M41" s="111"/>
      <c r="N41" s="111"/>
      <c r="O41" s="111"/>
      <c r="P41" s="111">
        <v>0</v>
      </c>
      <c r="Q41" s="111"/>
      <c r="R41" s="111"/>
      <c r="S41" s="111"/>
      <c r="T41" s="116">
        <v>0</v>
      </c>
      <c r="U41" s="117"/>
      <c r="V41" s="118"/>
      <c r="W41" s="112">
        <v>0</v>
      </c>
      <c r="X41" s="112"/>
      <c r="Y41" s="112"/>
      <c r="Z41" s="112"/>
      <c r="AA41" s="112"/>
      <c r="AB41" s="137">
        <v>0</v>
      </c>
      <c r="AC41" s="137"/>
      <c r="AD41" s="137"/>
      <c r="AE41" s="137"/>
      <c r="AF41" s="137"/>
      <c r="AG41" s="137"/>
      <c r="AH41" s="113">
        <v>0</v>
      </c>
      <c r="AI41" s="114"/>
      <c r="AJ41" s="114"/>
      <c r="AK41" s="115"/>
      <c r="AL41" s="111">
        <v>0</v>
      </c>
      <c r="AM41" s="111"/>
      <c r="AN41" s="111"/>
      <c r="AO41" s="111"/>
      <c r="AP41" s="9"/>
      <c r="AR41" s="7"/>
      <c r="AS41" s="51" t="s">
        <v>94</v>
      </c>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F41" s="9"/>
      <c r="CI41" s="80">
        <f t="shared" si="22"/>
        <v>0</v>
      </c>
      <c r="CJ41" s="80"/>
      <c r="CK41" s="80"/>
      <c r="CL41" s="80"/>
      <c r="CO41" s="80" t="str">
        <f t="shared" si="23"/>
        <v>Vac Switch</v>
      </c>
      <c r="CP41" s="80"/>
      <c r="CQ41" s="80"/>
      <c r="CR41" s="80"/>
      <c r="CS41" s="80"/>
      <c r="EH41" s="1"/>
      <c r="EI41" s="83" t="s">
        <v>67</v>
      </c>
      <c r="EJ41" s="83"/>
      <c r="EK41" s="83"/>
      <c r="EL41" s="81">
        <f t="shared" si="19"/>
        <v>0</v>
      </c>
      <c r="EM41" s="80"/>
      <c r="EN41" s="80"/>
      <c r="EO41" s="80"/>
      <c r="EP41" s="80"/>
      <c r="EQ41" s="80"/>
      <c r="ER41" s="82">
        <f>_xlfn.LET(_xlpm.s,
IF(EL43&lt;&gt;0,1/EL43,0)+
IF(EL37&lt;&gt;0,1/EL37,0)+
IF(EL38&lt;&gt;0,1/EL38,0)+
IF(EL39&lt;&gt;0,1/EL39,0)+
IF(EL40&lt;&gt;0,1/EL40,0)+
IF(EL36&lt;&gt;0,1/EL36,0)+
IF(EL42&lt;&gt;0,1/EL42,0),
IF(_xlpm.s=0,0,1/_xlpm.s))</f>
        <v>10.875</v>
      </c>
      <c r="ES41" s="82"/>
      <c r="ET41" s="82"/>
      <c r="EU41" s="82"/>
      <c r="EV41" s="82"/>
      <c r="EW41" s="82"/>
      <c r="EX41" s="82">
        <f t="shared" si="21"/>
        <v>10.875</v>
      </c>
      <c r="EY41" s="82"/>
      <c r="EZ41" s="82"/>
      <c r="FA41" s="82"/>
      <c r="FB41" s="82"/>
      <c r="FC41" s="82"/>
      <c r="FD41" s="79" t="str">
        <f t="shared" si="20"/>
        <v>n/a</v>
      </c>
      <c r="FE41" s="80"/>
      <c r="FF41" s="80"/>
      <c r="FG41" s="80"/>
      <c r="FH41" s="80"/>
      <c r="FI41" s="79" t="str">
        <f>IF(FD41="n/a","n/a",SUM(FD36:FH40,FD42:FH43))</f>
        <v>n/a</v>
      </c>
      <c r="FJ41" s="80"/>
      <c r="FK41" s="80"/>
      <c r="FL41" s="80"/>
      <c r="FM41" s="80"/>
      <c r="HC41" s="72"/>
      <c r="HD41" s="72"/>
      <c r="HE41" s="72"/>
      <c r="HF41" s="72"/>
      <c r="HG41" s="72"/>
    </row>
    <row r="42" spans="2:215" ht="18" customHeight="1" x14ac:dyDescent="0.25">
      <c r="B42" s="7"/>
      <c r="C42" s="111">
        <v>6</v>
      </c>
      <c r="D42" s="111"/>
      <c r="E42" s="112">
        <v>0</v>
      </c>
      <c r="F42" s="112"/>
      <c r="G42" s="112"/>
      <c r="H42" s="112">
        <v>0</v>
      </c>
      <c r="I42" s="112"/>
      <c r="J42" s="112"/>
      <c r="K42" s="111" t="s">
        <v>106</v>
      </c>
      <c r="L42" s="111"/>
      <c r="M42" s="111"/>
      <c r="N42" s="111"/>
      <c r="O42" s="111"/>
      <c r="P42" s="111">
        <v>0</v>
      </c>
      <c r="Q42" s="111"/>
      <c r="R42" s="111"/>
      <c r="S42" s="111"/>
      <c r="T42" s="116">
        <v>0</v>
      </c>
      <c r="U42" s="117"/>
      <c r="V42" s="118"/>
      <c r="W42" s="112">
        <v>0</v>
      </c>
      <c r="X42" s="112"/>
      <c r="Y42" s="112"/>
      <c r="Z42" s="112"/>
      <c r="AA42" s="112"/>
      <c r="AB42" s="137">
        <v>0</v>
      </c>
      <c r="AC42" s="137"/>
      <c r="AD42" s="137"/>
      <c r="AE42" s="137"/>
      <c r="AF42" s="137"/>
      <c r="AG42" s="137"/>
      <c r="AH42" s="113">
        <v>0</v>
      </c>
      <c r="AI42" s="114"/>
      <c r="AJ42" s="114"/>
      <c r="AK42" s="115"/>
      <c r="AL42" s="111">
        <v>0</v>
      </c>
      <c r="AM42" s="111"/>
      <c r="AN42" s="111"/>
      <c r="AO42" s="111"/>
      <c r="AP42" s="9"/>
      <c r="AR42" s="7"/>
      <c r="AS42" s="51" t="s">
        <v>124</v>
      </c>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F42" s="9"/>
      <c r="CI42" s="80">
        <f t="shared" si="22"/>
        <v>0</v>
      </c>
      <c r="CJ42" s="80"/>
      <c r="CK42" s="80"/>
      <c r="CL42" s="80"/>
      <c r="CO42" s="80" t="str">
        <f t="shared" si="23"/>
        <v>Vac Switch</v>
      </c>
      <c r="CP42" s="80"/>
      <c r="CQ42" s="80"/>
      <c r="CR42" s="80"/>
      <c r="CS42" s="80"/>
      <c r="EH42" s="1"/>
      <c r="EI42" s="83" t="s">
        <v>68</v>
      </c>
      <c r="EJ42" s="83"/>
      <c r="EK42" s="83"/>
      <c r="EL42" s="81">
        <f t="shared" si="19"/>
        <v>0</v>
      </c>
      <c r="EM42" s="80"/>
      <c r="EN42" s="80"/>
      <c r="EO42" s="80"/>
      <c r="EP42" s="80"/>
      <c r="EQ42" s="80"/>
      <c r="ER42" s="82">
        <f>_xlfn.LET(_xlpm.s,
IF(EL43&lt;&gt;0,1/EL43,0)+
IF(EL37&lt;&gt;0,1/EL37,0)+
IF(EL38&lt;&gt;0,1/EL38,0)+
IF(EL39&lt;&gt;0,1/EL39,0)+
IF(EL40&lt;&gt;0,1/EL40,0)+
IF(EL41&lt;&gt;0,1/EL41,0)+
IF(EL36&lt;&gt;0,1/EL36,0),
IF(_xlpm.s=0,0,1/_xlpm.s))</f>
        <v>10.875</v>
      </c>
      <c r="ES42" s="82"/>
      <c r="ET42" s="82"/>
      <c r="EU42" s="82"/>
      <c r="EV42" s="82"/>
      <c r="EW42" s="82"/>
      <c r="EX42" s="82">
        <f t="shared" si="21"/>
        <v>10.875</v>
      </c>
      <c r="EY42" s="82"/>
      <c r="EZ42" s="82"/>
      <c r="FA42" s="82"/>
      <c r="FB42" s="82"/>
      <c r="FC42" s="82"/>
      <c r="FD42" s="79" t="str">
        <f t="shared" si="20"/>
        <v>n/a</v>
      </c>
      <c r="FE42" s="80"/>
      <c r="FF42" s="80"/>
      <c r="FG42" s="80"/>
      <c r="FH42" s="80"/>
      <c r="FI42" s="79" t="str">
        <f>IF(FD42="n/a","n/a",SUM(FD36:FH41,FD43))</f>
        <v>n/a</v>
      </c>
      <c r="FJ42" s="80"/>
      <c r="FK42" s="80"/>
      <c r="FL42" s="80"/>
      <c r="FM42" s="80"/>
      <c r="HC42" s="72"/>
      <c r="HD42" s="72"/>
      <c r="HE42" s="72"/>
      <c r="HF42" s="72"/>
      <c r="HG42" s="72"/>
    </row>
    <row r="43" spans="2:215" ht="18" customHeight="1" x14ac:dyDescent="0.25">
      <c r="B43" s="7"/>
      <c r="C43" s="111">
        <v>7</v>
      </c>
      <c r="D43" s="111"/>
      <c r="E43" s="112">
        <v>0</v>
      </c>
      <c r="F43" s="112"/>
      <c r="G43" s="112"/>
      <c r="H43" s="112">
        <v>0</v>
      </c>
      <c r="I43" s="112"/>
      <c r="J43" s="112"/>
      <c r="K43" s="111" t="s">
        <v>106</v>
      </c>
      <c r="L43" s="111"/>
      <c r="M43" s="111"/>
      <c r="N43" s="111"/>
      <c r="O43" s="111"/>
      <c r="P43" s="111">
        <v>0</v>
      </c>
      <c r="Q43" s="111"/>
      <c r="R43" s="111"/>
      <c r="S43" s="111"/>
      <c r="T43" s="116">
        <v>0</v>
      </c>
      <c r="U43" s="117"/>
      <c r="V43" s="118"/>
      <c r="W43" s="112">
        <v>0</v>
      </c>
      <c r="X43" s="112"/>
      <c r="Y43" s="112"/>
      <c r="Z43" s="112"/>
      <c r="AA43" s="112"/>
      <c r="AB43" s="137">
        <v>0</v>
      </c>
      <c r="AC43" s="137"/>
      <c r="AD43" s="137"/>
      <c r="AE43" s="137"/>
      <c r="AF43" s="137"/>
      <c r="AG43" s="137"/>
      <c r="AH43" s="113">
        <v>0</v>
      </c>
      <c r="AI43" s="114"/>
      <c r="AJ43" s="114"/>
      <c r="AK43" s="115"/>
      <c r="AL43" s="111">
        <v>0</v>
      </c>
      <c r="AM43" s="111"/>
      <c r="AN43" s="111"/>
      <c r="AO43" s="111"/>
      <c r="AP43" s="9"/>
      <c r="AR43" s="7"/>
      <c r="AS43" s="51" t="s">
        <v>140</v>
      </c>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F43" s="9"/>
      <c r="CI43" s="80">
        <f t="shared" si="22"/>
        <v>0</v>
      </c>
      <c r="CJ43" s="80"/>
      <c r="CK43" s="80"/>
      <c r="CL43" s="80"/>
      <c r="EH43" s="1"/>
      <c r="EI43" s="83" t="s">
        <v>69</v>
      </c>
      <c r="EJ43" s="83"/>
      <c r="EK43" s="83"/>
      <c r="EL43" s="81">
        <f t="shared" si="19"/>
        <v>0</v>
      </c>
      <c r="EM43" s="80"/>
      <c r="EN43" s="80"/>
      <c r="EO43" s="80"/>
      <c r="EP43" s="80"/>
      <c r="EQ43" s="80"/>
      <c r="ER43" s="82">
        <f>_xlfn.LET(_xlpm.s,
IF(EL36&lt;&gt;0,1/EL36,0)+
IF(EL37&lt;&gt;0,1/EL37,0)+
IF(EL38&lt;&gt;0,1/EL38,0)+
IF(EL39&lt;&gt;0,1/EL39,0)+
IF(EL40&lt;&gt;0,1/EL40,0)+
IF(EL41&lt;&gt;0,1/EL41,0)+
IF(EL42&lt;&gt;0,1/EL42,0),
IF(_xlpm.s=0,0,1/_xlpm.s))</f>
        <v>10.875</v>
      </c>
      <c r="ES43" s="82"/>
      <c r="ET43" s="82"/>
      <c r="EU43" s="82"/>
      <c r="EV43" s="82"/>
      <c r="EW43" s="82"/>
      <c r="EX43" s="82">
        <f t="shared" si="21"/>
        <v>10.875</v>
      </c>
      <c r="EY43" s="82"/>
      <c r="EZ43" s="82"/>
      <c r="FA43" s="82"/>
      <c r="FB43" s="82"/>
      <c r="FC43" s="82"/>
      <c r="FD43" s="79" t="str">
        <f t="shared" si="20"/>
        <v>n/a</v>
      </c>
      <c r="FE43" s="80"/>
      <c r="FF43" s="80"/>
      <c r="FG43" s="80"/>
      <c r="FH43" s="80"/>
      <c r="FI43" s="79" t="str">
        <f>IF(FD43="n/a","n/a",SUM(FD36:FH42))</f>
        <v>n/a</v>
      </c>
      <c r="FJ43" s="80"/>
      <c r="FK43" s="80"/>
      <c r="FL43" s="80"/>
      <c r="FM43" s="80"/>
      <c r="HC43" s="72"/>
      <c r="HD43" s="72"/>
      <c r="HE43" s="72"/>
      <c r="HF43" s="72"/>
      <c r="HG43" s="72"/>
    </row>
    <row r="44" spans="2:215" ht="18" customHeight="1" x14ac:dyDescent="0.25">
      <c r="B44" s="7"/>
      <c r="C44" s="111">
        <v>8</v>
      </c>
      <c r="D44" s="111"/>
      <c r="E44" s="112">
        <v>0</v>
      </c>
      <c r="F44" s="112"/>
      <c r="G44" s="112"/>
      <c r="H44" s="112">
        <v>0</v>
      </c>
      <c r="I44" s="112"/>
      <c r="J44" s="112"/>
      <c r="K44" s="111" t="s">
        <v>106</v>
      </c>
      <c r="L44" s="111"/>
      <c r="M44" s="111"/>
      <c r="N44" s="111"/>
      <c r="O44" s="111"/>
      <c r="P44" s="111">
        <v>0</v>
      </c>
      <c r="Q44" s="111"/>
      <c r="R44" s="111"/>
      <c r="S44" s="111"/>
      <c r="T44" s="116">
        <v>0</v>
      </c>
      <c r="U44" s="117"/>
      <c r="V44" s="118"/>
      <c r="W44" s="112">
        <v>0</v>
      </c>
      <c r="X44" s="112"/>
      <c r="Y44" s="112"/>
      <c r="Z44" s="112"/>
      <c r="AA44" s="112"/>
      <c r="AB44" s="137">
        <v>0</v>
      </c>
      <c r="AC44" s="137"/>
      <c r="AD44" s="137"/>
      <c r="AE44" s="137"/>
      <c r="AF44" s="137"/>
      <c r="AG44" s="137"/>
      <c r="AH44" s="113">
        <v>0</v>
      </c>
      <c r="AI44" s="114"/>
      <c r="AJ44" s="114"/>
      <c r="AK44" s="115"/>
      <c r="AL44" s="111">
        <v>0</v>
      </c>
      <c r="AM44" s="111"/>
      <c r="AN44" s="111"/>
      <c r="AO44" s="111"/>
      <c r="AP44" s="9"/>
      <c r="AR44" s="7"/>
      <c r="CF44" s="9"/>
      <c r="CI44" s="80">
        <f t="shared" si="22"/>
        <v>0</v>
      </c>
      <c r="CJ44" s="80"/>
      <c r="CK44" s="80"/>
      <c r="CL44" s="80"/>
      <c r="EH44" s="1"/>
      <c r="EI44" s="1"/>
      <c r="EJ44" s="1"/>
      <c r="EK44" s="1"/>
      <c r="EL44" s="1"/>
      <c r="EM44" s="1"/>
      <c r="EN44" s="1"/>
      <c r="EO44" s="1"/>
      <c r="EP44" s="1"/>
      <c r="EQ44" s="1"/>
      <c r="ER44" s="1"/>
      <c r="HC44" s="72"/>
      <c r="HD44" s="72"/>
      <c r="HE44" s="72"/>
      <c r="HF44" s="72"/>
      <c r="HG44" s="72"/>
    </row>
    <row r="45" spans="2:215" ht="18" customHeight="1" x14ac:dyDescent="0.25">
      <c r="B45" s="7"/>
      <c r="C45" s="56" t="s">
        <v>131</v>
      </c>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9"/>
      <c r="AR45" s="7"/>
      <c r="CF45" s="9"/>
      <c r="EH45" s="1"/>
      <c r="EI45" s="50" t="s">
        <v>72</v>
      </c>
      <c r="EJ45" s="1"/>
      <c r="EK45" s="1"/>
      <c r="EL45" s="1"/>
      <c r="EM45" s="1"/>
      <c r="EN45" s="1"/>
      <c r="EO45" s="1"/>
      <c r="EP45" s="1"/>
      <c r="EQ45" s="1"/>
      <c r="ER45" s="1"/>
      <c r="HC45" s="72"/>
      <c r="HD45" s="72"/>
      <c r="HE45" s="72"/>
      <c r="HF45" s="72"/>
      <c r="HG45" s="72"/>
    </row>
    <row r="46" spans="2:215" ht="18" customHeight="1" x14ac:dyDescent="0.25">
      <c r="B46" s="7"/>
      <c r="C46" s="49" t="s">
        <v>39</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HC46" s="72"/>
      <c r="HD46" s="72"/>
      <c r="HE46" s="72"/>
      <c r="HF46" s="72"/>
      <c r="HG46" s="72"/>
    </row>
    <row r="47" spans="2:215"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I47" s="63"/>
      <c r="DJ47" s="63"/>
      <c r="DK47" s="63"/>
      <c r="DL47" s="63"/>
      <c r="DM47" s="63"/>
      <c r="DY47" s="1"/>
      <c r="DZ47" s="1"/>
      <c r="EA47" s="1"/>
      <c r="ED47" s="1"/>
      <c r="EE47" s="1"/>
      <c r="EF47" s="1"/>
      <c r="EG47" s="1"/>
      <c r="EH47" s="1"/>
      <c r="EI47" s="1"/>
      <c r="EJ47" s="1"/>
      <c r="EK47" s="1"/>
      <c r="EL47" s="1"/>
      <c r="EM47" s="1"/>
      <c r="EN47" s="1"/>
      <c r="EO47" s="1"/>
      <c r="EP47" s="1"/>
      <c r="EQ47" s="1"/>
      <c r="ER47" s="1"/>
      <c r="HC47" s="72"/>
      <c r="HD47" s="72"/>
      <c r="HE47" s="72"/>
      <c r="HF47" s="72"/>
      <c r="HG47" s="72"/>
    </row>
    <row r="48" spans="2:215"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HC48" s="72"/>
      <c r="HD48" s="72"/>
      <c r="HE48" s="72"/>
      <c r="HF48" s="72"/>
      <c r="HG48" s="72"/>
    </row>
    <row r="49" spans="2:215"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80</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HC49" s="72"/>
      <c r="HD49" s="72"/>
      <c r="HE49" s="72"/>
      <c r="HF49" s="72"/>
      <c r="HG49" s="72"/>
    </row>
    <row r="50" spans="2:215" ht="18" customHeight="1" x14ac:dyDescent="0.25">
      <c r="DY50" s="1"/>
      <c r="DZ50" s="1"/>
      <c r="EA50" s="1"/>
      <c r="ED50" s="1"/>
      <c r="EE50" s="1"/>
      <c r="EF50" s="1"/>
      <c r="EG50" s="1"/>
      <c r="EH50" s="1"/>
      <c r="EI50" s="1"/>
      <c r="EJ50" s="1"/>
      <c r="EK50" s="1"/>
      <c r="EL50" s="1"/>
      <c r="EM50" s="1"/>
      <c r="EN50" s="1"/>
      <c r="EO50" s="1"/>
      <c r="EP50" s="1"/>
      <c r="EQ50" s="1"/>
      <c r="ER50" s="1"/>
      <c r="HC50" s="72"/>
      <c r="HD50" s="72"/>
      <c r="HE50" s="72"/>
      <c r="HF50" s="72"/>
      <c r="HG50" s="72"/>
    </row>
    <row r="51" spans="2:215"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HC51" s="72"/>
      <c r="HD51" s="72"/>
      <c r="HE51" s="72"/>
      <c r="HF51" s="72"/>
      <c r="HG51" s="72"/>
    </row>
    <row r="52" spans="2:215"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HC52" s="72"/>
      <c r="HD52" s="72"/>
      <c r="HE52" s="72"/>
      <c r="HF52" s="72"/>
      <c r="HG52" s="72"/>
    </row>
    <row r="53" spans="2:215"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HC53" s="72"/>
      <c r="HD53" s="72"/>
      <c r="HE53" s="72"/>
      <c r="HF53" s="72"/>
      <c r="HG53" s="72"/>
    </row>
    <row r="54" spans="2:215" ht="18" customHeight="1" thickBot="1" x14ac:dyDescent="0.3">
      <c r="B54" s="7"/>
      <c r="C54" s="11" t="s">
        <v>81</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81</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HC54" s="72"/>
      <c r="HD54" s="72"/>
      <c r="HE54" s="72"/>
      <c r="HF54" s="72"/>
      <c r="HG54" s="72"/>
    </row>
    <row r="55" spans="2:215"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CD55" s="10"/>
      <c r="CF55" s="9"/>
      <c r="DY55" s="1"/>
      <c r="DZ55" s="1"/>
      <c r="EA55" s="1"/>
      <c r="ED55" s="1"/>
      <c r="EE55" s="1"/>
      <c r="EF55" s="1"/>
      <c r="EG55" s="1"/>
      <c r="EH55" s="1"/>
      <c r="EI55" s="1"/>
      <c r="EJ55" s="1"/>
      <c r="EK55" s="1"/>
      <c r="EL55" s="1"/>
      <c r="EM55" s="1"/>
      <c r="EN55" s="1"/>
      <c r="EO55" s="1"/>
      <c r="EP55" s="1"/>
      <c r="EQ55" s="1"/>
      <c r="ER55" s="1"/>
      <c r="HC55" s="72"/>
      <c r="HD55" s="72"/>
      <c r="HE55" s="72"/>
      <c r="HF55" s="72"/>
      <c r="HG55" s="72"/>
    </row>
    <row r="56" spans="2:215" ht="18" customHeight="1" x14ac:dyDescent="0.3">
      <c r="B56" s="7"/>
      <c r="C56" s="120" t="s">
        <v>143</v>
      </c>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9"/>
      <c r="AR56" s="7"/>
      <c r="AS56" s="134" t="s">
        <v>122</v>
      </c>
      <c r="AT56" s="133" t="s">
        <v>138</v>
      </c>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9"/>
      <c r="DY56" s="1"/>
      <c r="DZ56" s="1"/>
      <c r="EA56" s="1"/>
      <c r="ED56" s="1"/>
      <c r="EE56" s="1"/>
      <c r="EF56" s="1"/>
      <c r="EG56" s="1"/>
      <c r="EH56" s="1"/>
      <c r="EI56" s="1"/>
      <c r="EJ56" s="1"/>
      <c r="EK56" s="1"/>
      <c r="EL56" s="1"/>
      <c r="EM56" s="1"/>
      <c r="EN56" s="1"/>
      <c r="EO56" s="1"/>
      <c r="EP56" s="1"/>
      <c r="EQ56" s="1"/>
      <c r="ER56" s="1"/>
      <c r="HC56" s="72"/>
      <c r="HD56" s="72"/>
      <c r="HE56" s="72"/>
      <c r="HF56" s="72"/>
      <c r="HG56" s="72"/>
    </row>
    <row r="57" spans="2:215" ht="18" customHeight="1" x14ac:dyDescent="0.25">
      <c r="B57" s="7"/>
      <c r="C57" s="41"/>
      <c r="D57" s="41"/>
      <c r="E57" s="41"/>
      <c r="F57" s="41"/>
      <c r="G57" s="41"/>
      <c r="H57" s="41"/>
      <c r="I57" s="41"/>
      <c r="J57" s="41"/>
      <c r="K57" s="94" t="s">
        <v>118</v>
      </c>
      <c r="L57" s="94"/>
      <c r="M57" s="94"/>
      <c r="N57" s="94"/>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9"/>
      <c r="AR57" s="7"/>
      <c r="AS57" s="134"/>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9"/>
      <c r="DY57" s="1"/>
      <c r="DZ57" s="1"/>
      <c r="EA57" s="1"/>
      <c r="ED57" s="1"/>
      <c r="EE57" s="1"/>
      <c r="EF57" s="1"/>
      <c r="EG57" s="1"/>
      <c r="EH57" s="1"/>
      <c r="EI57" s="1"/>
      <c r="EJ57" s="1"/>
      <c r="EK57" s="1"/>
      <c r="EL57" s="1"/>
      <c r="EM57" s="1"/>
      <c r="EN57" s="1"/>
      <c r="EO57" s="1"/>
      <c r="EP57" s="1"/>
      <c r="EQ57" s="1"/>
      <c r="ER57" s="1"/>
      <c r="HC57" s="72"/>
      <c r="HD57" s="72"/>
      <c r="HE57" s="72"/>
      <c r="HF57" s="72"/>
      <c r="HG57" s="72"/>
    </row>
    <row r="58" spans="2:215" ht="18" customHeight="1" x14ac:dyDescent="0.25">
      <c r="B58" s="7"/>
      <c r="C58" s="41"/>
      <c r="D58" s="41"/>
      <c r="E58" s="41"/>
      <c r="F58" s="94" t="s">
        <v>117</v>
      </c>
      <c r="G58" s="94"/>
      <c r="H58" s="94"/>
      <c r="I58" s="94"/>
      <c r="J58" s="59"/>
      <c r="K58" s="94"/>
      <c r="L58" s="94"/>
      <c r="M58" s="94"/>
      <c r="N58" s="94"/>
      <c r="O58" s="41"/>
      <c r="P58" s="94" t="s">
        <v>119</v>
      </c>
      <c r="Q58" s="94"/>
      <c r="R58" s="94"/>
      <c r="S58" s="94"/>
      <c r="T58" s="41"/>
      <c r="U58" s="94" t="s">
        <v>116</v>
      </c>
      <c r="V58" s="94"/>
      <c r="W58" s="94"/>
      <c r="X58" s="94"/>
      <c r="Y58" s="94"/>
      <c r="Z58" s="41"/>
      <c r="AA58" s="94" t="s">
        <v>120</v>
      </c>
      <c r="AB58" s="94"/>
      <c r="AC58" s="94"/>
      <c r="AD58" s="94"/>
      <c r="AE58" s="94"/>
      <c r="AF58" s="41"/>
      <c r="AG58" s="94" t="s">
        <v>121</v>
      </c>
      <c r="AH58" s="94"/>
      <c r="AI58" s="94"/>
      <c r="AJ58" s="94"/>
      <c r="AK58" s="41"/>
      <c r="AL58" s="94" t="s">
        <v>123</v>
      </c>
      <c r="AM58" s="86"/>
      <c r="AN58" s="86"/>
      <c r="AO58" s="86"/>
      <c r="AP58" s="62"/>
      <c r="AR58" s="7"/>
      <c r="AS58" s="134"/>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9"/>
      <c r="DY58" s="1"/>
      <c r="DZ58" s="1"/>
      <c r="EA58" s="1"/>
      <c r="ED58" s="1"/>
      <c r="EE58" s="1"/>
      <c r="EF58" s="1"/>
      <c r="EG58" s="1"/>
      <c r="EH58" s="1"/>
      <c r="EI58" s="1"/>
      <c r="EJ58" s="1"/>
      <c r="EK58" s="1"/>
      <c r="EL58" s="1"/>
      <c r="EM58" s="1"/>
      <c r="EN58" s="1"/>
      <c r="EO58" s="1"/>
      <c r="EP58" s="1"/>
      <c r="EQ58" s="1"/>
      <c r="ER58" s="1"/>
      <c r="HC58" s="72"/>
      <c r="HD58" s="72"/>
      <c r="HE58" s="72"/>
      <c r="HF58" s="72"/>
      <c r="HG58" s="72"/>
    </row>
    <row r="59" spans="2:215" ht="18" customHeight="1" x14ac:dyDescent="0.25">
      <c r="B59" s="7"/>
      <c r="C59" s="94" t="s">
        <v>107</v>
      </c>
      <c r="D59" s="94"/>
      <c r="E59" s="41"/>
      <c r="F59" s="94"/>
      <c r="G59" s="94"/>
      <c r="H59" s="94"/>
      <c r="I59" s="94"/>
      <c r="J59" s="59"/>
      <c r="K59" s="94"/>
      <c r="L59" s="94"/>
      <c r="M59" s="94"/>
      <c r="N59" s="94"/>
      <c r="O59" s="41"/>
      <c r="P59" s="94"/>
      <c r="Q59" s="94"/>
      <c r="R59" s="94"/>
      <c r="S59" s="94"/>
      <c r="T59" s="41"/>
      <c r="U59" s="94"/>
      <c r="V59" s="94"/>
      <c r="W59" s="94"/>
      <c r="X59" s="94"/>
      <c r="Y59" s="94"/>
      <c r="Z59" s="41"/>
      <c r="AA59" s="94"/>
      <c r="AB59" s="94"/>
      <c r="AC59" s="94"/>
      <c r="AD59" s="94"/>
      <c r="AE59" s="94"/>
      <c r="AF59" s="41"/>
      <c r="AG59" s="94"/>
      <c r="AH59" s="94"/>
      <c r="AI59" s="94"/>
      <c r="AJ59" s="94"/>
      <c r="AK59" s="41"/>
      <c r="AL59" s="86"/>
      <c r="AM59" s="86"/>
      <c r="AN59" s="86"/>
      <c r="AO59" s="86"/>
      <c r="AP59" s="62"/>
      <c r="AR59" s="7"/>
      <c r="AS59" s="134"/>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9"/>
      <c r="DY59" s="1"/>
      <c r="DZ59" s="1"/>
      <c r="EA59" s="1"/>
      <c r="ED59" s="1"/>
      <c r="EE59" s="1"/>
      <c r="EF59" s="1"/>
      <c r="EG59" s="1"/>
      <c r="EH59" s="1"/>
      <c r="EI59" s="1"/>
      <c r="EJ59" s="1"/>
      <c r="EK59" s="1"/>
      <c r="EL59" s="1"/>
      <c r="EM59" s="1"/>
      <c r="EN59" s="1"/>
      <c r="EO59" s="1"/>
      <c r="EP59" s="1"/>
      <c r="EQ59" s="1"/>
      <c r="ER59" s="1"/>
      <c r="HC59" s="72"/>
      <c r="HD59" s="72"/>
      <c r="HE59" s="72"/>
      <c r="HF59" s="72"/>
      <c r="HG59" s="72"/>
    </row>
    <row r="60" spans="2:215" ht="18" customHeight="1" x14ac:dyDescent="0.25">
      <c r="B60" s="7"/>
      <c r="C60" s="95"/>
      <c r="D60" s="95"/>
      <c r="E60" s="41"/>
      <c r="F60" s="95"/>
      <c r="G60" s="95"/>
      <c r="H60" s="95"/>
      <c r="I60" s="95"/>
      <c r="J60" s="59"/>
      <c r="K60" s="95"/>
      <c r="L60" s="95"/>
      <c r="M60" s="95"/>
      <c r="N60" s="95"/>
      <c r="O60" s="41"/>
      <c r="P60" s="95"/>
      <c r="Q60" s="95"/>
      <c r="R60" s="95"/>
      <c r="S60" s="95"/>
      <c r="T60" s="41"/>
      <c r="U60" s="95"/>
      <c r="V60" s="95"/>
      <c r="W60" s="95"/>
      <c r="X60" s="95"/>
      <c r="Y60" s="95"/>
      <c r="Z60" s="41"/>
      <c r="AA60" s="95"/>
      <c r="AB60" s="95"/>
      <c r="AC60" s="95"/>
      <c r="AD60" s="95"/>
      <c r="AE60" s="95"/>
      <c r="AF60" s="41"/>
      <c r="AG60" s="135"/>
      <c r="AH60" s="135"/>
      <c r="AI60" s="135"/>
      <c r="AJ60" s="135"/>
      <c r="AK60" s="41"/>
      <c r="AL60" s="106"/>
      <c r="AM60" s="106"/>
      <c r="AN60" s="106"/>
      <c r="AO60" s="106"/>
      <c r="AP60" s="62"/>
      <c r="AR60" s="7"/>
      <c r="AS60" s="134"/>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9"/>
      <c r="DY60" s="1"/>
      <c r="DZ60" s="1"/>
      <c r="EA60" s="1"/>
      <c r="ED60" s="1"/>
      <c r="EE60" s="1"/>
      <c r="EF60" s="1"/>
      <c r="EG60" s="1"/>
      <c r="EH60" s="1"/>
      <c r="EI60" s="1"/>
      <c r="EJ60" s="1"/>
      <c r="EK60" s="1"/>
      <c r="EL60" s="1"/>
      <c r="EM60" s="1"/>
      <c r="EN60" s="1"/>
      <c r="EO60" s="1"/>
      <c r="EP60" s="1"/>
      <c r="EQ60" s="1"/>
      <c r="ER60" s="1"/>
      <c r="HC60" s="72"/>
      <c r="HD60" s="72"/>
      <c r="HE60" s="72"/>
      <c r="HF60" s="72"/>
      <c r="HG60" s="72"/>
    </row>
    <row r="61" spans="2:215" ht="18" customHeight="1" x14ac:dyDescent="0.25">
      <c r="B61" s="7"/>
      <c r="C61" s="77">
        <v>1</v>
      </c>
      <c r="D61" s="77"/>
      <c r="F61" s="77" t="str">
        <f>IF(AW13="n/a",
   "n/a",
   IF(
      AW13*IF($S$27="Grounded",1.35,IF($S$27="Ungrounded",1.25,1))&gt;P37,
      "FAIL",
      "PASS"
   )
)</f>
        <v>PASS</v>
      </c>
      <c r="G61" s="77"/>
      <c r="H61" s="77"/>
      <c r="I61" s="77"/>
      <c r="K61" s="77" t="str">
        <f>IF(AW13="n/a",
   "n/a",
   IF(
      AW13*IF($S$27="Grounded",1.35,IF($S$27="Ungrounded",1.25,1))&gt;AB37,
      "FAIL",
      "PASS"
   )
)</f>
        <v>PASS</v>
      </c>
      <c r="L61" s="77"/>
      <c r="M61" s="77"/>
      <c r="N61" s="77"/>
      <c r="P61" s="77" t="str">
        <f>IF(CH13=0,
   "n/a",
   IF(
      CH13 &lt;= AH37 * (1 - $AM$27),
      "PASS",
      "FAIL"
   )
)</f>
        <v>PASS</v>
      </c>
      <c r="Q61" s="77"/>
      <c r="R61" s="77"/>
      <c r="S61" s="77"/>
      <c r="U61" s="77" t="str">
        <f>IF(CH13=0,
   "n/a",
   IF(
      CH13 &lt;= W37 * (1 - $AM$27),
      "PASS",
      "FAIL"
   )
)</f>
        <v>PASS</v>
      </c>
      <c r="V61" s="77"/>
      <c r="W61" s="77"/>
      <c r="X61" s="77"/>
      <c r="Y61" s="77"/>
      <c r="AA61" s="128" t="str">
        <f>_xlfn.LET(
  _xlpm.dev, TRIM(SUBSTITUTE(K37,CHAR(160)," ")),
  IF(E37=0,
     "n/a",
     IF(OR(_xlpm.dev="SS SF6 Switch",_xlpm.dev="Vac Switch",_xlpm.dev="Vac Contactor"),
        "No Limit",
        IF(ISNUMBER(MATCH(_xlpm.dev,{"Breaker | C0","Breaker | C1","Breaker | C2"},0)),
           IF(CH13 &lt; 0.1*AH37,
              "PASS",
              IF(CR13 &lt;= 4*CI37*(1-$AM$27),
                 "PASS",
                 "FAIL"
              )
           ),
           "n/a"
        )
     )
  )
)</f>
        <v>No Limit</v>
      </c>
      <c r="AB61" s="128"/>
      <c r="AC61" s="128"/>
      <c r="AD61" s="128"/>
      <c r="AE61" s="65"/>
      <c r="AG61" s="128" t="str">
        <f>_xlfn.LET(
  _xlpm.dev,TRIM(SUBSTITUTE(K37,CHAR(160)," ")),
  _xlpm.em,$AM$27,
  IF(E37=0,
     "n/a",
     IF(OR(_xlpm.dev="SS SF6 Switch",_xlpm.dev="Vac Switch",_xlpm.dev="Vac Contactor"),
        "No Limit",
        IF(ISNUMBER(MATCH(_xlpm.dev,{"Breaker | C0","Breaker | C1","Breaker | C2"},0)),
           IF(CH13 &lt;= AH37*(1-_xlpm.em),
              IF(CR13 &lt;= 4*CI37,"PASS","FAIL"),
              "FAIL"
           ),
           "n/a"
        )
     )
  )
)</f>
        <v>No Limit</v>
      </c>
      <c r="AH61" s="128"/>
      <c r="AI61" s="128"/>
      <c r="AJ61" s="128"/>
      <c r="AL61" s="128" t="str">
        <f>_xlfn.LET(
  _xlpm.dev,TRIM(SUBSTITUTE(K37,CHAR(160)," ")),
  IF(OR(_xlpm.dev="SS SF6 Switch",_xlpm.dev="Vac Switch",_xlpm.dev="Vac Contactor"),
     "n/a",
     IF(OR(_xlpm.dev="Breaker | C0",_xlpm.dev="Breaker | C1"),
        "WARNING",
        "PASS"
     )
  )
)</f>
        <v>n/a</v>
      </c>
      <c r="AM61" s="128"/>
      <c r="AN61" s="128"/>
      <c r="AO61" s="128"/>
      <c r="AP61" s="9"/>
      <c r="AR61" s="7"/>
      <c r="AS61" s="134"/>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9"/>
      <c r="DY61" s="1"/>
      <c r="DZ61" s="1"/>
      <c r="EA61" s="1"/>
      <c r="ED61" s="1"/>
      <c r="EE61" s="1"/>
      <c r="EF61" s="1"/>
      <c r="EG61" s="1"/>
      <c r="EH61" s="1"/>
      <c r="EI61" s="1"/>
      <c r="EJ61" s="1"/>
      <c r="EK61" s="1"/>
      <c r="EL61" s="1"/>
      <c r="EM61" s="1"/>
      <c r="EN61" s="1"/>
      <c r="EO61" s="1"/>
      <c r="EP61" s="1"/>
      <c r="EQ61" s="1"/>
      <c r="ER61" s="1"/>
      <c r="HC61" s="72"/>
      <c r="HD61" s="72"/>
      <c r="HE61" s="72"/>
      <c r="HF61" s="72"/>
      <c r="HG61" s="72"/>
    </row>
    <row r="62" spans="2:215" ht="18" customHeight="1" x14ac:dyDescent="0.25">
      <c r="B62" s="7"/>
      <c r="C62" s="77">
        <v>2</v>
      </c>
      <c r="D62" s="77"/>
      <c r="F62" s="77" t="str">
        <f t="shared" ref="F62:F68" si="24">IF(AW14="n/a",
   "n/a",
   IF(
      AW14*IF($S$27="Grounded",1.35,IF($S$27="Ungrounded",1.25,1))&gt;P38,
      "FAIL",
      "PASS"
   )
)</f>
        <v>PASS</v>
      </c>
      <c r="G62" s="77"/>
      <c r="H62" s="77"/>
      <c r="I62" s="77"/>
      <c r="K62" s="77" t="str">
        <f t="shared" ref="K62:K68" si="25">IF(AW14="n/a",
   "n/a",
   IF(
      AW14*IF($S$27="Grounded",1.35,IF($S$27="Ungrounded",1.25,1))&gt;AB38,
      "FAIL",
      "PASS"
   )
)</f>
        <v>PASS</v>
      </c>
      <c r="L62" s="77"/>
      <c r="M62" s="77"/>
      <c r="N62" s="77"/>
      <c r="P62" s="77" t="str">
        <f t="shared" ref="P62:P68" si="26">IF(CH14=0,
   "n/a",
   IF(
      CH14 &lt;= AH38 * (1 - $AM$27),
      "PASS",
      "FAIL"
   )
)</f>
        <v>PASS</v>
      </c>
      <c r="Q62" s="77"/>
      <c r="R62" s="77"/>
      <c r="S62" s="77"/>
      <c r="U62" s="77" t="str">
        <f t="shared" ref="U62:U68" si="27">IF(CH14=0,
   "n/a",
   IF(
      CH14 &lt;= W38 * (1 - $AM$27),
      "PASS",
      "FAIL"
   )
)</f>
        <v>PASS</v>
      </c>
      <c r="V62" s="77"/>
      <c r="W62" s="77"/>
      <c r="X62" s="77"/>
      <c r="Y62" s="77"/>
      <c r="AA62" s="128" t="str">
        <f>_xlfn.LET(
  _xlpm.dev, TRIM(SUBSTITUTE(K38,CHAR(160)," ")),
  IF(E38=0,
     "n/a",
     IF(OR(_xlpm.dev="SS SF6 Switch",_xlpm.dev="Vac Switch",_xlpm.dev="Vac Contactor"),
        "No Limit",
        IF(ISNUMBER(MATCH(_xlpm.dev,{"Breaker | C0","Breaker | C1","Breaker | C2"},0)),
           IF(CH14 &lt; 0.1*AH38,
              "PASS",
              IF(CR14 &lt;= 4*CI38*(1-$AM$27),
                 "PASS",
                 "FAIL"
              )
           ),
           "n/a"
        )
     )
  )
)</f>
        <v>No Limit</v>
      </c>
      <c r="AB62" s="128"/>
      <c r="AC62" s="128"/>
      <c r="AD62" s="128"/>
      <c r="AE62" s="65"/>
      <c r="AG62" s="128" t="str">
        <f>_xlfn.LET(
  _xlpm.dev,TRIM(SUBSTITUTE(K38,CHAR(160)," ")),
  _xlpm.em,$AM$27,
  IF(E38=0,
     "n/a",
     IF(OR(_xlpm.dev="SS SF6 Switch",_xlpm.dev="Vac Switch",_xlpm.dev="Vac Contactor"),
        "No Limit",
        IF(ISNUMBER(MATCH(_xlpm.dev,{"Breaker | C0","Breaker | C1","Breaker | C2"},0)),
           IF(CH14 &lt;= AH38*(1-_xlpm.em),
              IF(CR14 &lt;= 4*CI38,"PASS","FAIL"),
              "FAIL"
           ),
           "n/a"
        )
     )
  )
)</f>
        <v>No Limit</v>
      </c>
      <c r="AH62" s="128"/>
      <c r="AI62" s="128"/>
      <c r="AJ62" s="128"/>
      <c r="AL62" s="128" t="str">
        <f>_xlfn.LET(
  _xlpm.dev,TRIM(SUBSTITUTE(K38,CHAR(160)," ")),
  IF(OR(_xlpm.dev="SS SF6 Switch",_xlpm.dev="Vac Switch",_xlpm.dev="Vac Contactor"),
     "n/a",
     IF(OR(_xlpm.dev="Breaker | C0",_xlpm.dev="Breaker | C1"),
        "WARNING",
        "PASS"
     )
  )
)</f>
        <v>n/a</v>
      </c>
      <c r="AM62" s="128"/>
      <c r="AN62" s="128"/>
      <c r="AO62" s="128"/>
      <c r="AP62" s="9"/>
      <c r="AR62" s="7"/>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9"/>
      <c r="DY62" s="1"/>
      <c r="DZ62" s="1"/>
      <c r="EA62" s="1"/>
      <c r="ED62" s="1"/>
      <c r="EE62" s="1"/>
      <c r="EF62" s="1"/>
      <c r="EG62" s="1"/>
      <c r="EH62" s="1"/>
      <c r="EI62" s="1"/>
      <c r="EJ62" s="1"/>
      <c r="EK62" s="1"/>
      <c r="EL62" s="1"/>
      <c r="EM62" s="1"/>
      <c r="EN62" s="1"/>
      <c r="EO62" s="1"/>
      <c r="EP62" s="1"/>
      <c r="EQ62" s="1"/>
      <c r="ER62" s="1"/>
      <c r="HC62" s="72"/>
      <c r="HD62" s="72"/>
      <c r="HE62" s="72"/>
      <c r="HF62" s="72"/>
      <c r="HG62" s="72"/>
    </row>
    <row r="63" spans="2:215" ht="18" customHeight="1" x14ac:dyDescent="0.25">
      <c r="B63" s="7"/>
      <c r="C63" s="77">
        <v>3</v>
      </c>
      <c r="D63" s="77"/>
      <c r="F63" s="77" t="str">
        <f t="shared" si="24"/>
        <v>FAIL</v>
      </c>
      <c r="G63" s="77"/>
      <c r="H63" s="77"/>
      <c r="I63" s="77"/>
      <c r="K63" s="77" t="str">
        <f t="shared" si="25"/>
        <v>FAIL</v>
      </c>
      <c r="L63" s="77"/>
      <c r="M63" s="77"/>
      <c r="N63" s="77"/>
      <c r="P63" s="77" t="str">
        <f t="shared" si="26"/>
        <v>PASS</v>
      </c>
      <c r="Q63" s="77"/>
      <c r="R63" s="77"/>
      <c r="S63" s="77"/>
      <c r="U63" s="77" t="str">
        <f t="shared" si="27"/>
        <v>PASS</v>
      </c>
      <c r="V63" s="77"/>
      <c r="W63" s="77"/>
      <c r="X63" s="77"/>
      <c r="Y63" s="77"/>
      <c r="AA63" s="77" t="str">
        <f>_xlfn.LET(
  _xlpm.dev, TRIM(SUBSTITUTE(K39,CHAR(160)," ")),
  IF(E39=0,
     "n/a",
     IF(OR(_xlpm.dev="SS SF6 Switch",_xlpm.dev="Vac Switch",_xlpm.dev="Vac Contactor"),
        "No Limit",
        IF(ISNUMBER(MATCH(_xlpm.dev,{"Breaker | C0","Breaker | C1","Breaker | C2"},0)),
           IF(CH15 &lt; 0.1*AH39,
              "PASS",
              IF(CR15 &lt;= 4*CI39*(1-$AM$27),
                 "PASS",
                 "FAIL"
              )
           ),
           "n/a"
        )
     )
  )
)</f>
        <v>No Limit</v>
      </c>
      <c r="AB63" s="77"/>
      <c r="AC63" s="77"/>
      <c r="AD63" s="77"/>
      <c r="AE63" s="65"/>
      <c r="AG63" s="77" t="str">
        <f>_xlfn.LET(
  _xlpm.dev,TRIM(SUBSTITUTE(K39,CHAR(160)," ")),
  _xlpm.em,$AM$27,
  IF(E39=0,
     "n/a",
     IF(OR(_xlpm.dev="SS SF6 Switch",_xlpm.dev="Vac Switch",_xlpm.dev="Vac Contactor"),
        "No Limit",
        IF(ISNUMBER(MATCH(_xlpm.dev,{"Breaker | C0","Breaker | C1","Breaker | C2"},0)),
           IF(CH15 &lt;= AH39*(1-_xlpm.em),
              IF(CR15 &lt;= 4*CI39,"PASS","FAIL"),
              "FAIL"
           ),
           "n/a"
        )
     )
  )
)</f>
        <v>No Limit</v>
      </c>
      <c r="AH63" s="77"/>
      <c r="AI63" s="77"/>
      <c r="AJ63" s="77"/>
      <c r="AL63" s="128" t="str">
        <f>_xlfn.LET(
  _xlpm.dev,TRIM(SUBSTITUTE(K39,CHAR(160)," ")),
  IF(OR(_xlpm.dev="SS SF6 Switch",_xlpm.dev="Vac Switch",_xlpm.dev="Vac Contactor"),
     "n/a",
     IF(OR(_xlpm.dev="Breaker | C0",_xlpm.dev="Breaker | C1"),
        "WARNING",
        "PASS"
     )
  )
)</f>
        <v>n/a</v>
      </c>
      <c r="AM63" s="128"/>
      <c r="AN63" s="128"/>
      <c r="AO63" s="128"/>
      <c r="AP63" s="9"/>
      <c r="AR63" s="7"/>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9"/>
      <c r="DY63" s="1"/>
      <c r="DZ63" s="1"/>
      <c r="EA63" s="1"/>
      <c r="ED63" s="1"/>
      <c r="EE63" s="1"/>
      <c r="EF63" s="1"/>
      <c r="EG63" s="1"/>
      <c r="EH63" s="1"/>
      <c r="EI63" s="1"/>
      <c r="EJ63" s="1"/>
      <c r="EK63" s="1"/>
      <c r="EL63" s="1"/>
      <c r="EM63" s="1"/>
      <c r="EN63" s="1"/>
      <c r="EO63" s="1"/>
      <c r="EP63" s="1"/>
      <c r="EQ63" s="1"/>
      <c r="ER63" s="1"/>
    </row>
    <row r="64" spans="2:215" ht="18" customHeight="1" x14ac:dyDescent="0.25">
      <c r="B64" s="7"/>
      <c r="C64" s="77">
        <v>4</v>
      </c>
      <c r="D64" s="77"/>
      <c r="F64" s="77" t="str">
        <f t="shared" si="24"/>
        <v>FAIL</v>
      </c>
      <c r="G64" s="77"/>
      <c r="H64" s="77"/>
      <c r="I64" s="77"/>
      <c r="K64" s="77" t="str">
        <f t="shared" si="25"/>
        <v>FAIL</v>
      </c>
      <c r="L64" s="77"/>
      <c r="M64" s="77"/>
      <c r="N64" s="77"/>
      <c r="P64" s="77" t="str">
        <f t="shared" si="26"/>
        <v>PASS</v>
      </c>
      <c r="Q64" s="77"/>
      <c r="R64" s="77"/>
      <c r="S64" s="77"/>
      <c r="U64" s="77" t="str">
        <f t="shared" si="27"/>
        <v>PASS</v>
      </c>
      <c r="V64" s="77"/>
      <c r="W64" s="77"/>
      <c r="X64" s="77"/>
      <c r="Y64" s="77"/>
      <c r="AA64" s="77" t="str">
        <f>_xlfn.LET(
  _xlpm.dev, TRIM(SUBSTITUTE(K40,CHAR(160)," ")),
  IF(E40=0,
     "n/a",
     IF(OR(_xlpm.dev="SS SF6 Switch",_xlpm.dev="Vac Switch",_xlpm.dev="Vac Contactor"),
        "No Limit",
        IF(ISNUMBER(MATCH(_xlpm.dev,{"Breaker | C0","Breaker | C1","Breaker | C2"},0)),
           IF(CH16 &lt; 0.1*AH40,
              "PASS",
              IF(CR16 &lt;= 4*CI40*(1-$AM$27),
                 "PASS",
                 "FAIL"
              )
           ),
           "n/a"
        )
     )
  )
)</f>
        <v>No Limit</v>
      </c>
      <c r="AB64" s="77"/>
      <c r="AC64" s="77"/>
      <c r="AD64" s="77"/>
      <c r="AE64" s="65"/>
      <c r="AG64" s="77" t="str">
        <f>_xlfn.LET(
  _xlpm.dev,TRIM(SUBSTITUTE(K40,CHAR(160)," ")),
  _xlpm.em,$AM$27,
  IF(E40=0,
     "n/a",
     IF(OR(_xlpm.dev="SS SF6 Switch",_xlpm.dev="Vac Switch",_xlpm.dev="Vac Contactor"),
        "No Limit",
        IF(ISNUMBER(MATCH(_xlpm.dev,{"Breaker | C0","Breaker | C1","Breaker | C2"},0)),
           IF(CH16 &lt;= AH40*(1-_xlpm.em),
              IF(CR16 &lt;= 4*CI40,"PASS","FAIL"),
              "FAIL"
           ),
           "n/a"
        )
     )
  )
)</f>
        <v>No Limit</v>
      </c>
      <c r="AH64" s="77"/>
      <c r="AI64" s="77"/>
      <c r="AJ64" s="77"/>
      <c r="AL64" s="128" t="str">
        <f t="shared" ref="AL64:AL68" si="28">_xlfn.LET(
  _xlpm.dev,TRIM(SUBSTITUTE(K40,CHAR(160)," ")),
  IF(OR(_xlpm.dev="SS SF6 Switch",_xlpm.dev="Vac Switch",_xlpm.dev="Vac Contactor"),
     "n/a",
     IF(OR(_xlpm.dev="Breaker | C0",_xlpm.dev="Breaker | C1"),
        "WARNING",
        "PASS"
     )
  )
)</f>
        <v>n/a</v>
      </c>
      <c r="AM64" s="128"/>
      <c r="AN64" s="128"/>
      <c r="AO64" s="128"/>
      <c r="AP64" s="9"/>
      <c r="AR64" s="7"/>
      <c r="AS64" s="134" t="s">
        <v>129</v>
      </c>
      <c r="AT64" s="133" t="s">
        <v>139</v>
      </c>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C65" s="77">
        <v>5</v>
      </c>
      <c r="D65" s="77"/>
      <c r="F65" s="77" t="str">
        <f t="shared" si="24"/>
        <v>n/a</v>
      </c>
      <c r="G65" s="77"/>
      <c r="H65" s="77"/>
      <c r="I65" s="77"/>
      <c r="K65" s="77" t="str">
        <f t="shared" si="25"/>
        <v>n/a</v>
      </c>
      <c r="L65" s="77"/>
      <c r="M65" s="77"/>
      <c r="N65" s="77"/>
      <c r="P65" s="77" t="str">
        <f t="shared" si="26"/>
        <v>n/a</v>
      </c>
      <c r="Q65" s="77"/>
      <c r="R65" s="77"/>
      <c r="S65" s="77"/>
      <c r="U65" s="77" t="str">
        <f t="shared" si="27"/>
        <v>n/a</v>
      </c>
      <c r="V65" s="77"/>
      <c r="W65" s="77"/>
      <c r="X65" s="77"/>
      <c r="Y65" s="77"/>
      <c r="AA65" s="77" t="str">
        <f>_xlfn.LET(
  _xlpm.dev, TRIM(SUBSTITUTE(K41,CHAR(160)," ")),
  IF(E41=0,
     "n/a",
     IF(OR(_xlpm.dev="SS SF6 Switch",_xlpm.dev="Vac Switch",_xlpm.dev="Vac Contactor"),
        "No Limit",
        IF(ISNUMBER(MATCH(_xlpm.dev,{"Breaker | C0","Breaker | C1","Breaker | C2"},0)),
           IF(CH17 &lt; 0.1*AH41,
              "PASS",
              IF(CR17 &lt;= 4*CI41*(1-$AM$27),
                 "PASS",
                 "FAIL"
              )
           ),
           "n/a"
        )
     )
  )
)</f>
        <v>n/a</v>
      </c>
      <c r="AB65" s="77"/>
      <c r="AC65" s="77"/>
      <c r="AD65" s="77"/>
      <c r="AE65" s="65"/>
      <c r="AG65" s="77" t="str">
        <f>_xlfn.LET(
  _xlpm.dev,TRIM(SUBSTITUTE(K41,CHAR(160)," ")),
  _xlpm.em,$AM$27,
  IF(E41=0,
     "n/a",
     IF(OR(_xlpm.dev="SS SF6 Switch",_xlpm.dev="Vac Switch",_xlpm.dev="Vac Contactor"),
        "No Limit",
        IF(ISNUMBER(MATCH(_xlpm.dev,{"Breaker | C0","Breaker | C1","Breaker | C2"},0)),
           IF(CH17 &lt;= AH41*(1-_xlpm.em),
              IF(CR17 &lt;= 4*CI41,"PASS","FAIL"),
              "FAIL"
           ),
           "n/a"
        )
     )
  )
)</f>
        <v>n/a</v>
      </c>
      <c r="AH65" s="77"/>
      <c r="AI65" s="77"/>
      <c r="AJ65" s="77"/>
      <c r="AL65" s="128" t="str">
        <f t="shared" si="28"/>
        <v>n/a</v>
      </c>
      <c r="AM65" s="128"/>
      <c r="AN65" s="128"/>
      <c r="AO65" s="128"/>
      <c r="AP65" s="9"/>
      <c r="AR65" s="7"/>
      <c r="AS65" s="134"/>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C66" s="77">
        <v>6</v>
      </c>
      <c r="D66" s="77"/>
      <c r="F66" s="77" t="str">
        <f t="shared" si="24"/>
        <v>n/a</v>
      </c>
      <c r="G66" s="77"/>
      <c r="H66" s="77"/>
      <c r="I66" s="77"/>
      <c r="K66" s="77" t="str">
        <f t="shared" si="25"/>
        <v>n/a</v>
      </c>
      <c r="L66" s="77"/>
      <c r="M66" s="77"/>
      <c r="N66" s="77"/>
      <c r="P66" s="77" t="str">
        <f t="shared" si="26"/>
        <v>n/a</v>
      </c>
      <c r="Q66" s="77"/>
      <c r="R66" s="77"/>
      <c r="S66" s="77"/>
      <c r="U66" s="77" t="str">
        <f t="shared" si="27"/>
        <v>n/a</v>
      </c>
      <c r="V66" s="77"/>
      <c r="W66" s="77"/>
      <c r="X66" s="77"/>
      <c r="Y66" s="77"/>
      <c r="AA66" s="77" t="str">
        <f>_xlfn.LET(
  _xlpm.dev, TRIM(SUBSTITUTE(K42,CHAR(160)," ")),
  IF(E42=0,
     "n/a",
     IF(OR(_xlpm.dev="SS SF6 Switch",_xlpm.dev="Vac Switch",_xlpm.dev="Vac Contactor"),
        "No Limit",
        IF(ISNUMBER(MATCH(_xlpm.dev,{"Breaker | C0","Breaker | C1","Breaker | C2"},0)),
           IF(CH18 &lt; 0.1*AH42,
              "PASS",
              IF(CR18 &lt;= 4*CI42*(1-$AM$27),
                 "PASS",
                 "FAIL"
              )
           ),
           "n/a"
        )
     )
  )
)</f>
        <v>n/a</v>
      </c>
      <c r="AB66" s="77"/>
      <c r="AC66" s="77"/>
      <c r="AD66" s="77"/>
      <c r="AE66" s="65"/>
      <c r="AG66" s="77" t="str">
        <f>_xlfn.LET(
  _xlpm.dev,TRIM(SUBSTITUTE(K42,CHAR(160)," ")),
  _xlpm.em,$AM$27,
  IF(E42=0,
     "n/a",
     IF(OR(_xlpm.dev="SS SF6 Switch",_xlpm.dev="Vac Switch",_xlpm.dev="Vac Contactor"),
        "No Limit",
        IF(ISNUMBER(MATCH(_xlpm.dev,{"Breaker | C0","Breaker | C1","Breaker | C2"},0)),
           IF(CH18 &lt;= AH42*(1-_xlpm.em),
              IF(CR18 &lt;= 4*CI42,"PASS","FAIL"),
              "FAIL"
           ),
           "n/a"
        )
     )
  )
)</f>
        <v>n/a</v>
      </c>
      <c r="AH66" s="77"/>
      <c r="AI66" s="77"/>
      <c r="AJ66" s="77"/>
      <c r="AL66" s="128" t="str">
        <f t="shared" si="28"/>
        <v>n/a</v>
      </c>
      <c r="AM66" s="128"/>
      <c r="AN66" s="128"/>
      <c r="AO66" s="128"/>
      <c r="AP66" s="9"/>
      <c r="AR66" s="7"/>
      <c r="AS66" s="134"/>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C67" s="77">
        <v>7</v>
      </c>
      <c r="D67" s="77"/>
      <c r="F67" s="77" t="str">
        <f t="shared" si="24"/>
        <v>n/a</v>
      </c>
      <c r="G67" s="77"/>
      <c r="H67" s="77"/>
      <c r="I67" s="77"/>
      <c r="K67" s="77" t="str">
        <f t="shared" si="25"/>
        <v>n/a</v>
      </c>
      <c r="L67" s="77"/>
      <c r="M67" s="77"/>
      <c r="N67" s="77"/>
      <c r="P67" s="77" t="str">
        <f t="shared" si="26"/>
        <v>n/a</v>
      </c>
      <c r="Q67" s="77"/>
      <c r="R67" s="77"/>
      <c r="S67" s="77"/>
      <c r="U67" s="77" t="str">
        <f t="shared" si="27"/>
        <v>n/a</v>
      </c>
      <c r="V67" s="77"/>
      <c r="W67" s="77"/>
      <c r="X67" s="77"/>
      <c r="Y67" s="77"/>
      <c r="AA67" s="77" t="str">
        <f>_xlfn.LET(
  _xlpm.dev, TRIM(SUBSTITUTE(K43,CHAR(160)," ")),
  IF(E43=0,
     "n/a",
     IF(OR(_xlpm.dev="SS SF6 Switch",_xlpm.dev="Vac Switch",_xlpm.dev="Vac Contactor"),
        "No Limit",
        IF(ISNUMBER(MATCH(_xlpm.dev,{"Breaker | C0","Breaker | C1","Breaker | C2"},0)),
           IF(CH19 &lt; 0.1*AH43,
              "PASS",
              IF(CR19 &lt;= 4*CI43*(1-$AM$27),
                 "PASS",
                 "FAIL"
              )
           ),
           "n/a"
        )
     )
  )
)</f>
        <v>n/a</v>
      </c>
      <c r="AB67" s="77"/>
      <c r="AC67" s="77"/>
      <c r="AD67" s="77"/>
      <c r="AE67" s="65"/>
      <c r="AG67" s="77" t="str">
        <f>_xlfn.LET(
  _xlpm.dev,TRIM(SUBSTITUTE(K43,CHAR(160)," ")),
  _xlpm.em,$AM$27,
  IF(E43=0,
     "n/a",
     IF(OR(_xlpm.dev="SS SF6 Switch",_xlpm.dev="Vac Switch",_xlpm.dev="Vac Contactor"),
        "No Limit",
        IF(ISNUMBER(MATCH(_xlpm.dev,{"Breaker | C0","Breaker | C1","Breaker | C2"},0)),
           IF(CH19 &lt;= AH43*(1-_xlpm.em),
              IF(CR19 &lt;= 4*CI43,"PASS","FAIL"),
              "FAIL"
           ),
           "n/a"
        )
     )
  )
)</f>
        <v>n/a</v>
      </c>
      <c r="AH67" s="77"/>
      <c r="AI67" s="77"/>
      <c r="AJ67" s="77"/>
      <c r="AL67" s="128" t="str">
        <f t="shared" si="28"/>
        <v>n/a</v>
      </c>
      <c r="AM67" s="128"/>
      <c r="AN67" s="128"/>
      <c r="AO67" s="128"/>
      <c r="AP67" s="9"/>
      <c r="AR67" s="7"/>
      <c r="AS67" s="134"/>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C68" s="77">
        <v>8</v>
      </c>
      <c r="D68" s="77"/>
      <c r="F68" s="77" t="str">
        <f t="shared" si="24"/>
        <v>n/a</v>
      </c>
      <c r="G68" s="77"/>
      <c r="H68" s="77"/>
      <c r="I68" s="77"/>
      <c r="K68" s="77" t="str">
        <f t="shared" si="25"/>
        <v>n/a</v>
      </c>
      <c r="L68" s="77"/>
      <c r="M68" s="77"/>
      <c r="N68" s="77"/>
      <c r="P68" s="77" t="str">
        <f t="shared" si="26"/>
        <v>n/a</v>
      </c>
      <c r="Q68" s="77"/>
      <c r="R68" s="77"/>
      <c r="S68" s="77"/>
      <c r="U68" s="77" t="str">
        <f t="shared" si="27"/>
        <v>n/a</v>
      </c>
      <c r="V68" s="77"/>
      <c r="W68" s="77"/>
      <c r="X68" s="77"/>
      <c r="Y68" s="77"/>
      <c r="AA68" s="77" t="str">
        <f>_xlfn.LET(
  _xlpm.dev, TRIM(SUBSTITUTE(K44,CHAR(160)," ")),
  IF(E44=0,
     "n/a",
     IF(OR(_xlpm.dev="SS SF6 Switch",_xlpm.dev="Vac Switch",_xlpm.dev="Vac Contactor"),
        "No Limit",
        IF(ISNUMBER(MATCH(_xlpm.dev,{"Breaker | C0","Breaker | C1","Breaker | C2"},0)),
           IF(CH20 &lt; 0.1*AH44,
              "PASS",
              IF(CR20 &lt;= 4*CI44*(1-$AM$27),
                 "PASS",
                 "FAIL"
              )
           ),
           "n/a"
        )
     )
  )
)</f>
        <v>n/a</v>
      </c>
      <c r="AB68" s="77"/>
      <c r="AC68" s="77"/>
      <c r="AD68" s="77"/>
      <c r="AE68" s="65"/>
      <c r="AG68" s="77" t="str">
        <f>_xlfn.LET(
  _xlpm.dev,TRIM(SUBSTITUTE(K44,CHAR(160)," ")),
  _xlpm.em,$AM$27,
  IF(E44=0,
     "n/a",
     IF(OR(_xlpm.dev="SS SF6 Switch",_xlpm.dev="Vac Switch",_xlpm.dev="Vac Contactor"),
        "No Limit",
        IF(ISNUMBER(MATCH(_xlpm.dev,{"Breaker | C0","Breaker | C1","Breaker | C2"},0)),
           IF(CH20 &lt;= AH44*(1-_xlpm.em),
              IF(CR20 &lt;= 4*CI44,"PASS","FAIL"),
              "FAIL"
           ),
           "n/a"
        )
     )
  )
)</f>
        <v>n/a</v>
      </c>
      <c r="AH68" s="77"/>
      <c r="AI68" s="77"/>
      <c r="AJ68" s="77"/>
      <c r="AL68" s="128" t="str">
        <f t="shared" si="28"/>
        <v>n/a</v>
      </c>
      <c r="AM68" s="128"/>
      <c r="AN68" s="128"/>
      <c r="AO68" s="128"/>
      <c r="AP68" s="9"/>
      <c r="AR68" s="7"/>
      <c r="AS68" s="134"/>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AS69" s="134"/>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C70" s="66" t="s">
        <v>132</v>
      </c>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9"/>
      <c r="AR70" s="7"/>
      <c r="AS70" s="134"/>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C71" s="130" t="s">
        <v>108</v>
      </c>
      <c r="D71" s="141" t="s">
        <v>133</v>
      </c>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9"/>
      <c r="AR71" s="7"/>
      <c r="AS71" s="134"/>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9"/>
      <c r="DY71" s="1"/>
      <c r="DZ71" s="1"/>
      <c r="EA71" s="1"/>
      <c r="ED71" s="1"/>
      <c r="EE71" s="1"/>
      <c r="EF71" s="1"/>
      <c r="EG71" s="1"/>
      <c r="EH71" s="1"/>
      <c r="EI71" s="1"/>
      <c r="EJ71" s="1"/>
      <c r="EK71" s="1"/>
      <c r="EL71" s="1"/>
      <c r="EM71" s="1"/>
      <c r="EN71" s="1"/>
      <c r="EO71" s="1"/>
      <c r="EP71" s="1"/>
      <c r="EQ71" s="1"/>
      <c r="ER71" s="1"/>
    </row>
    <row r="72" spans="2:148" ht="18" customHeight="1" x14ac:dyDescent="0.25">
      <c r="B72" s="7"/>
      <c r="C72" s="131"/>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9"/>
      <c r="AR72" s="7"/>
      <c r="AS72" s="134"/>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C73" s="131"/>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9"/>
      <c r="AR73" s="7"/>
      <c r="AS73" s="134"/>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C74" s="131"/>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C75" s="131"/>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9"/>
      <c r="AR75" s="7"/>
      <c r="AS75" s="138" t="s">
        <v>144</v>
      </c>
      <c r="AT75" s="139"/>
      <c r="AU75" s="139"/>
      <c r="AV75" s="139"/>
      <c r="AW75" s="139"/>
      <c r="AX75" s="139"/>
      <c r="AY75" s="139"/>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C76" s="131" t="s">
        <v>109</v>
      </c>
      <c r="D76" s="132" t="s">
        <v>134</v>
      </c>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9"/>
      <c r="AR76" s="7"/>
      <c r="AS76" s="140" t="s">
        <v>145</v>
      </c>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C77" s="131"/>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9"/>
      <c r="AR77" s="7"/>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C78" s="131"/>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9"/>
      <c r="AR78" s="7"/>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C79" s="131"/>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9"/>
      <c r="AR79" s="7"/>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C80" s="131"/>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9"/>
      <c r="AR80" s="7"/>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9"/>
      <c r="DY80" s="1"/>
      <c r="DZ80" s="1"/>
      <c r="EA80" s="1"/>
      <c r="ED80" s="1"/>
      <c r="EE80" s="1"/>
      <c r="EF80" s="1"/>
      <c r="EG80" s="1"/>
      <c r="EH80" s="1"/>
      <c r="EI80" s="1"/>
      <c r="EJ80" s="1"/>
      <c r="EK80" s="1"/>
      <c r="EL80" s="1"/>
      <c r="EM80" s="1"/>
      <c r="EN80" s="1"/>
      <c r="EO80" s="1"/>
      <c r="EP80" s="1"/>
      <c r="EQ80" s="1"/>
      <c r="ER80" s="1"/>
    </row>
    <row r="81" spans="2:148" ht="18" customHeight="1" x14ac:dyDescent="0.25">
      <c r="B81" s="7"/>
      <c r="C81" s="129" t="s">
        <v>113</v>
      </c>
      <c r="D81" s="133" t="s">
        <v>135</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9"/>
      <c r="AR81" s="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C82" s="129"/>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C84" s="131" t="s">
        <v>114</v>
      </c>
      <c r="D84" s="133" t="s">
        <v>136</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C85" s="131"/>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C86" s="131"/>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C87" s="131"/>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C88" s="129" t="s">
        <v>115</v>
      </c>
      <c r="D88" s="133" t="s">
        <v>137</v>
      </c>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C89" s="129"/>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C90" s="129"/>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9"/>
      <c r="AR90" s="7"/>
      <c r="AZ90" s="61"/>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9"/>
      <c r="AR91" s="7"/>
      <c r="AZ91" s="61"/>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9"/>
      <c r="AR92" s="7"/>
      <c r="AZ92" s="61"/>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9"/>
      <c r="AR93" s="7"/>
      <c r="AZ93" s="61"/>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B100" s="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R100" s="4"/>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6"/>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B101" s="7"/>
      <c r="AN101" s="8"/>
      <c r="AP101" s="9"/>
      <c r="AR101" s="7"/>
      <c r="CD101" s="8"/>
      <c r="CF101" s="9"/>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B102" s="7"/>
      <c r="AN102" s="10"/>
      <c r="AP102" s="9"/>
      <c r="AR102" s="7"/>
      <c r="CD102" s="10"/>
      <c r="CF102" s="9"/>
      <c r="DY102" s="1"/>
      <c r="DZ102" s="1"/>
      <c r="EA102" s="1"/>
      <c r="ED102" s="1"/>
      <c r="EE102" s="1"/>
      <c r="EF102" s="1"/>
      <c r="EG102" s="1"/>
      <c r="EH102" s="1"/>
      <c r="EI102" s="1"/>
      <c r="EJ102" s="1"/>
      <c r="EK102" s="1"/>
      <c r="EL102" s="1"/>
      <c r="EM102" s="1"/>
      <c r="EN102" s="1"/>
      <c r="EO102" s="1"/>
      <c r="EP102" s="1"/>
      <c r="EQ102" s="1"/>
      <c r="ER102" s="1"/>
    </row>
    <row r="103" spans="2:148" ht="18" customHeight="1" thickBot="1" x14ac:dyDescent="0.3">
      <c r="B103" s="7"/>
      <c r="C103" s="11" t="s">
        <v>81</v>
      </c>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2"/>
      <c r="AO103" s="11"/>
      <c r="AP103" s="9"/>
      <c r="AR103" s="7"/>
      <c r="AS103" s="11" t="s">
        <v>81</v>
      </c>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2"/>
      <c r="CE103" s="11"/>
      <c r="CF103" s="9"/>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B104" s="7"/>
      <c r="AP104" s="9"/>
      <c r="AR104" s="7"/>
      <c r="CF104" s="9"/>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B105" s="7"/>
      <c r="AP105" s="9"/>
      <c r="AR105" s="7"/>
      <c r="CF105" s="9"/>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B106" s="7"/>
      <c r="AP106" s="9"/>
      <c r="AR106" s="7"/>
      <c r="CF106" s="9"/>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B107" s="7"/>
      <c r="AP107" s="9"/>
      <c r="AR107" s="7"/>
      <c r="CF107" s="9"/>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B108" s="7"/>
      <c r="AP108" s="9"/>
      <c r="AR108" s="7"/>
      <c r="CF108" s="9"/>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B109" s="7"/>
      <c r="AP109" s="9"/>
      <c r="AR109" s="7"/>
      <c r="CF109" s="9"/>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B110" s="7"/>
      <c r="AP110" s="9"/>
      <c r="AR110" s="7"/>
      <c r="CF110" s="9"/>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B111" s="7"/>
      <c r="AP111" s="9"/>
      <c r="AR111" s="7"/>
      <c r="CF111" s="9"/>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B112" s="7"/>
      <c r="AP112" s="9"/>
      <c r="AR112" s="7"/>
      <c r="CF112" s="9"/>
      <c r="DY112" s="1"/>
      <c r="DZ112" s="1"/>
      <c r="EA112" s="1"/>
      <c r="ED112" s="1"/>
      <c r="EE112" s="1"/>
      <c r="EF112" s="1"/>
      <c r="EG112" s="1"/>
      <c r="EH112" s="1"/>
      <c r="EI112" s="1"/>
      <c r="EJ112" s="1"/>
      <c r="EK112" s="1"/>
      <c r="EL112" s="1"/>
      <c r="EM112" s="1"/>
      <c r="EN112" s="1"/>
      <c r="EO112" s="1"/>
      <c r="EP112" s="1"/>
      <c r="EQ112" s="1"/>
      <c r="ER112" s="1"/>
    </row>
    <row r="113" spans="2:148" ht="18" customHeight="1" x14ac:dyDescent="0.25">
      <c r="B113" s="7"/>
      <c r="AP113" s="9"/>
      <c r="AR113" s="7"/>
      <c r="CF113" s="9"/>
      <c r="DY113" s="1"/>
      <c r="DZ113" s="1"/>
      <c r="EA113" s="1"/>
      <c r="ED113" s="1"/>
      <c r="EE113" s="1"/>
      <c r="EF113" s="1"/>
      <c r="EG113" s="1"/>
      <c r="EH113" s="1"/>
      <c r="EI113" s="1"/>
      <c r="EJ113" s="1"/>
      <c r="EK113" s="1"/>
      <c r="EL113" s="1"/>
      <c r="EM113" s="1"/>
      <c r="EN113" s="1"/>
      <c r="EO113" s="1"/>
      <c r="EP113" s="1"/>
      <c r="EQ113" s="1"/>
      <c r="ER113" s="1"/>
    </row>
    <row r="114" spans="2:148" ht="18" customHeight="1" x14ac:dyDescent="0.25">
      <c r="B114" s="7"/>
      <c r="AP114" s="9"/>
      <c r="AR114" s="7"/>
      <c r="CF114" s="9"/>
      <c r="DY114" s="1"/>
      <c r="DZ114" s="1"/>
      <c r="EA114" s="1"/>
      <c r="ED114" s="1"/>
      <c r="EE114" s="1"/>
      <c r="EF114" s="1"/>
      <c r="EG114" s="1"/>
      <c r="EH114" s="1"/>
      <c r="EI114" s="1"/>
      <c r="EJ114" s="1"/>
      <c r="EK114" s="1"/>
      <c r="EL114" s="1"/>
      <c r="EM114" s="1"/>
      <c r="EN114" s="1"/>
      <c r="EO114" s="1"/>
      <c r="EP114" s="1"/>
      <c r="EQ114" s="1"/>
      <c r="ER114" s="1"/>
    </row>
    <row r="115" spans="2:148" ht="18" customHeight="1" x14ac:dyDescent="0.25">
      <c r="B115" s="7"/>
      <c r="AP115" s="9"/>
      <c r="AR115" s="7"/>
      <c r="CF115" s="9"/>
      <c r="DY115" s="1"/>
      <c r="DZ115" s="1"/>
      <c r="EA115" s="1"/>
      <c r="ED115" s="1"/>
      <c r="EE115" s="1"/>
      <c r="EF115" s="1"/>
      <c r="EG115" s="1"/>
      <c r="EH115" s="1"/>
      <c r="EI115" s="1"/>
      <c r="EJ115" s="1"/>
      <c r="EK115" s="1"/>
      <c r="EL115" s="1"/>
      <c r="EM115" s="1"/>
      <c r="EN115" s="1"/>
      <c r="EO115" s="1"/>
      <c r="EP115" s="1"/>
      <c r="EQ115" s="1"/>
      <c r="ER115" s="1"/>
    </row>
    <row r="116" spans="2:148" ht="18" customHeight="1" x14ac:dyDescent="0.25">
      <c r="B116" s="7"/>
      <c r="AP116" s="9"/>
      <c r="AR116" s="7"/>
      <c r="CF116" s="9"/>
      <c r="DY116" s="1"/>
      <c r="DZ116" s="1"/>
      <c r="EA116" s="1"/>
      <c r="ED116" s="1"/>
      <c r="EE116" s="1"/>
      <c r="EF116" s="1"/>
      <c r="EG116" s="1"/>
      <c r="EH116" s="1"/>
      <c r="EI116" s="1"/>
      <c r="EJ116" s="1"/>
      <c r="EK116" s="1"/>
      <c r="EL116" s="1"/>
      <c r="EM116" s="1"/>
      <c r="EN116" s="1"/>
      <c r="EO116" s="1"/>
      <c r="EP116" s="1"/>
      <c r="EQ116" s="1"/>
      <c r="ER116" s="1"/>
    </row>
    <row r="117" spans="2:148" ht="18" customHeight="1" x14ac:dyDescent="0.25">
      <c r="B117" s="7"/>
      <c r="AP117" s="9"/>
      <c r="AR117" s="7"/>
      <c r="CF117" s="9"/>
      <c r="DY117" s="1"/>
      <c r="DZ117" s="1"/>
      <c r="EA117" s="1"/>
      <c r="ED117" s="1"/>
      <c r="EE117" s="1"/>
      <c r="EF117" s="1"/>
      <c r="EG117" s="1"/>
      <c r="EH117" s="1"/>
      <c r="EI117" s="1"/>
      <c r="EJ117" s="1"/>
      <c r="EK117" s="1"/>
      <c r="EL117" s="1"/>
      <c r="EM117" s="1"/>
      <c r="EN117" s="1"/>
      <c r="EO117" s="1"/>
      <c r="EP117" s="1"/>
      <c r="EQ117" s="1"/>
      <c r="ER117" s="1"/>
    </row>
    <row r="118" spans="2:148" ht="18" customHeight="1" x14ac:dyDescent="0.25">
      <c r="B118" s="7"/>
      <c r="AP118" s="9"/>
      <c r="AR118" s="7"/>
      <c r="CF118" s="9"/>
      <c r="DY118" s="1"/>
      <c r="DZ118" s="1"/>
      <c r="EA118" s="1"/>
      <c r="ED118" s="1"/>
      <c r="EE118" s="1"/>
      <c r="EF118" s="1"/>
      <c r="EG118" s="1"/>
      <c r="EH118" s="1"/>
      <c r="EI118" s="1"/>
      <c r="EJ118" s="1"/>
      <c r="EK118" s="1"/>
      <c r="EL118" s="1"/>
      <c r="EM118" s="1"/>
      <c r="EN118" s="1"/>
      <c r="EO118" s="1"/>
      <c r="EP118" s="1"/>
      <c r="EQ118" s="1"/>
      <c r="ER118" s="1"/>
    </row>
    <row r="119" spans="2:148" ht="18" customHeight="1" x14ac:dyDescent="0.25">
      <c r="B119" s="7"/>
      <c r="AP119" s="9"/>
      <c r="AR119" s="7"/>
      <c r="CF119" s="9"/>
      <c r="DY119" s="1"/>
      <c r="DZ119" s="1"/>
      <c r="EA119" s="1"/>
      <c r="ED119" s="1"/>
      <c r="EE119" s="1"/>
      <c r="EF119" s="1"/>
      <c r="EG119" s="1"/>
      <c r="EH119" s="1"/>
      <c r="EI119" s="1"/>
      <c r="EJ119" s="1"/>
      <c r="EK119" s="1"/>
      <c r="EL119" s="1"/>
      <c r="EM119" s="1"/>
      <c r="EN119" s="1"/>
      <c r="EO119" s="1"/>
      <c r="EP119" s="1"/>
      <c r="EQ119" s="1"/>
      <c r="ER119" s="1"/>
    </row>
    <row r="120" spans="2:148" ht="18" customHeight="1" x14ac:dyDescent="0.25">
      <c r="B120" s="7"/>
      <c r="AP120" s="9"/>
      <c r="AR120" s="7"/>
      <c r="CF120" s="9"/>
      <c r="DY120" s="1"/>
      <c r="DZ120" s="1"/>
      <c r="EA120" s="1"/>
      <c r="ED120" s="1"/>
      <c r="EE120" s="1"/>
      <c r="EF120" s="1"/>
      <c r="EG120" s="1"/>
      <c r="EH120" s="1"/>
      <c r="EI120" s="1"/>
      <c r="EJ120" s="1"/>
      <c r="EK120" s="1"/>
      <c r="EL120" s="1"/>
      <c r="EM120" s="1"/>
      <c r="EN120" s="1"/>
      <c r="EO120" s="1"/>
      <c r="EP120" s="1"/>
      <c r="EQ120" s="1"/>
      <c r="ER120" s="1"/>
    </row>
    <row r="121" spans="2:148" ht="18" customHeight="1" x14ac:dyDescent="0.25">
      <c r="B121" s="7"/>
      <c r="AP121" s="9"/>
      <c r="AR121" s="7"/>
      <c r="CF121" s="9"/>
      <c r="DY121" s="1"/>
      <c r="DZ121" s="1"/>
      <c r="EA121" s="1"/>
      <c r="ED121" s="1"/>
      <c r="EE121" s="1"/>
      <c r="EF121" s="1"/>
      <c r="EG121" s="1"/>
      <c r="EH121" s="1"/>
      <c r="EI121" s="1"/>
      <c r="EJ121" s="1"/>
      <c r="EK121" s="1"/>
      <c r="EL121" s="1"/>
      <c r="EM121" s="1"/>
      <c r="EN121" s="1"/>
      <c r="EO121" s="1"/>
      <c r="EP121" s="1"/>
      <c r="EQ121" s="1"/>
      <c r="ER121" s="1"/>
    </row>
    <row r="122" spans="2:148" ht="18" customHeight="1" x14ac:dyDescent="0.25">
      <c r="B122" s="7"/>
      <c r="AP122" s="9"/>
      <c r="AR122" s="7"/>
      <c r="CF122" s="9"/>
      <c r="DY122" s="1"/>
      <c r="DZ122" s="1"/>
      <c r="EA122" s="1"/>
      <c r="ED122" s="1"/>
      <c r="EE122" s="1"/>
      <c r="EF122" s="1"/>
      <c r="EG122" s="1"/>
      <c r="EH122" s="1"/>
      <c r="EI122" s="1"/>
      <c r="EJ122" s="1"/>
      <c r="EK122" s="1"/>
      <c r="EL122" s="1"/>
      <c r="EM122" s="1"/>
      <c r="EN122" s="1"/>
      <c r="EO122" s="1"/>
      <c r="EP122" s="1"/>
      <c r="EQ122" s="1"/>
      <c r="ER122" s="1"/>
    </row>
    <row r="123" spans="2:148" ht="18" customHeight="1" x14ac:dyDescent="0.25">
      <c r="B123" s="7"/>
      <c r="AP123" s="9"/>
      <c r="AR123" s="7"/>
      <c r="CF123" s="9"/>
      <c r="DY123" s="1"/>
      <c r="DZ123" s="1"/>
      <c r="EA123" s="1"/>
      <c r="ED123" s="1"/>
      <c r="EE123" s="1"/>
      <c r="EF123" s="1"/>
      <c r="EG123" s="1"/>
      <c r="EH123" s="1"/>
      <c r="EI123" s="1"/>
      <c r="EJ123" s="1"/>
      <c r="EK123" s="1"/>
      <c r="EL123" s="1"/>
      <c r="EM123" s="1"/>
      <c r="EN123" s="1"/>
      <c r="EO123" s="1"/>
      <c r="EP123" s="1"/>
      <c r="EQ123" s="1"/>
      <c r="ER123" s="1"/>
    </row>
    <row r="124" spans="2:148" ht="18" customHeight="1" x14ac:dyDescent="0.25">
      <c r="B124" s="7"/>
      <c r="AP124" s="9"/>
      <c r="AR124" s="7"/>
      <c r="CF124" s="9"/>
      <c r="DY124" s="1"/>
      <c r="DZ124" s="1"/>
      <c r="EA124" s="1"/>
      <c r="ED124" s="1"/>
      <c r="EE124" s="1"/>
      <c r="EF124" s="1"/>
      <c r="EG124" s="1"/>
      <c r="EH124" s="1"/>
      <c r="EI124" s="1"/>
      <c r="EJ124" s="1"/>
      <c r="EK124" s="1"/>
      <c r="EL124" s="1"/>
      <c r="EM124" s="1"/>
      <c r="EN124" s="1"/>
      <c r="EO124" s="1"/>
      <c r="EP124" s="1"/>
      <c r="EQ124" s="1"/>
      <c r="ER124" s="1"/>
    </row>
    <row r="125" spans="2:148" ht="18" customHeight="1" x14ac:dyDescent="0.25">
      <c r="B125" s="7"/>
      <c r="AP125" s="9"/>
      <c r="AR125" s="7"/>
      <c r="CF125" s="9"/>
      <c r="DY125" s="1"/>
      <c r="DZ125" s="1"/>
      <c r="EA125" s="1"/>
      <c r="ED125" s="1"/>
      <c r="EE125" s="1"/>
      <c r="EF125" s="1"/>
      <c r="EG125" s="1"/>
      <c r="EH125" s="1"/>
      <c r="EI125" s="1"/>
      <c r="EJ125" s="1"/>
      <c r="EK125" s="1"/>
      <c r="EL125" s="1"/>
      <c r="EM125" s="1"/>
      <c r="EN125" s="1"/>
      <c r="EO125" s="1"/>
      <c r="EP125" s="1"/>
      <c r="EQ125" s="1"/>
      <c r="ER125" s="1"/>
    </row>
    <row r="126" spans="2:148" ht="18" customHeight="1" x14ac:dyDescent="0.25">
      <c r="B126" s="7"/>
      <c r="AP126" s="9"/>
      <c r="AR126" s="7"/>
      <c r="CF126" s="9"/>
      <c r="DY126" s="1"/>
      <c r="DZ126" s="1"/>
      <c r="EA126" s="1"/>
      <c r="ED126" s="1"/>
      <c r="EE126" s="1"/>
      <c r="EF126" s="1"/>
      <c r="EG126" s="1"/>
      <c r="EH126" s="1"/>
      <c r="EI126" s="1"/>
      <c r="EJ126" s="1"/>
      <c r="EK126" s="1"/>
      <c r="EL126" s="1"/>
      <c r="EM126" s="1"/>
      <c r="EN126" s="1"/>
      <c r="EO126" s="1"/>
      <c r="EP126" s="1"/>
      <c r="EQ126" s="1"/>
      <c r="ER126" s="1"/>
    </row>
    <row r="127" spans="2:148" ht="18" customHeight="1" x14ac:dyDescent="0.25">
      <c r="B127" s="7"/>
      <c r="AP127" s="9"/>
      <c r="AR127" s="7"/>
      <c r="CF127" s="9"/>
      <c r="DY127" s="1"/>
      <c r="DZ127" s="1"/>
      <c r="EA127" s="1"/>
      <c r="ED127" s="1"/>
      <c r="EE127" s="1"/>
      <c r="EF127" s="1"/>
      <c r="EG127" s="1"/>
      <c r="EH127" s="1"/>
      <c r="EI127" s="1"/>
      <c r="EJ127" s="1"/>
      <c r="EK127" s="1"/>
      <c r="EL127" s="1"/>
      <c r="EM127" s="1"/>
      <c r="EN127" s="1"/>
      <c r="EO127" s="1"/>
      <c r="EP127" s="1"/>
      <c r="EQ127" s="1"/>
      <c r="ER127" s="1"/>
    </row>
    <row r="128" spans="2:148" ht="18" customHeight="1" x14ac:dyDescent="0.25">
      <c r="B128" s="7"/>
      <c r="AP128" s="9"/>
      <c r="AR128" s="7"/>
      <c r="CF128" s="9"/>
      <c r="DY128" s="1"/>
      <c r="DZ128" s="1"/>
      <c r="EA128" s="1"/>
      <c r="ED128" s="1"/>
      <c r="EE128" s="1"/>
      <c r="EF128" s="1"/>
      <c r="EG128" s="1"/>
      <c r="EH128" s="1"/>
      <c r="EI128" s="1"/>
      <c r="EJ128" s="1"/>
      <c r="EK128" s="1"/>
      <c r="EL128" s="1"/>
      <c r="EM128" s="1"/>
      <c r="EN128" s="1"/>
      <c r="EO128" s="1"/>
      <c r="EP128" s="1"/>
      <c r="EQ128" s="1"/>
      <c r="ER128" s="1"/>
    </row>
    <row r="129" spans="2:148" ht="18" customHeight="1" x14ac:dyDescent="0.25">
      <c r="B129" s="7"/>
      <c r="AP129" s="9"/>
      <c r="AR129" s="7"/>
      <c r="CF129" s="9"/>
      <c r="DY129" s="1"/>
      <c r="DZ129" s="1"/>
      <c r="EA129" s="1"/>
      <c r="ED129" s="1"/>
      <c r="EE129" s="1"/>
      <c r="EF129" s="1"/>
      <c r="EG129" s="1"/>
      <c r="EH129" s="1"/>
      <c r="EI129" s="1"/>
      <c r="EJ129" s="1"/>
      <c r="EK129" s="1"/>
      <c r="EL129" s="1"/>
      <c r="EM129" s="1"/>
      <c r="EN129" s="1"/>
      <c r="EO129" s="1"/>
      <c r="EP129" s="1"/>
      <c r="EQ129" s="1"/>
      <c r="ER129" s="1"/>
    </row>
    <row r="130" spans="2:148" ht="18" customHeight="1" x14ac:dyDescent="0.25">
      <c r="B130" s="7"/>
      <c r="AP130" s="9"/>
      <c r="AR130" s="7"/>
      <c r="CF130" s="9"/>
      <c r="DY130" s="1"/>
      <c r="DZ130" s="1"/>
      <c r="EA130" s="1"/>
      <c r="ED130" s="1"/>
      <c r="EE130" s="1"/>
      <c r="EF130" s="1"/>
      <c r="EG130" s="1"/>
      <c r="EH130" s="1"/>
      <c r="EI130" s="1"/>
      <c r="EJ130" s="1"/>
      <c r="EK130" s="1"/>
      <c r="EL130" s="1"/>
      <c r="EM130" s="1"/>
      <c r="EN130" s="1"/>
      <c r="EO130" s="1"/>
      <c r="EP130" s="1"/>
      <c r="EQ130" s="1"/>
      <c r="ER130" s="1"/>
    </row>
    <row r="131" spans="2:148" ht="18" customHeight="1" x14ac:dyDescent="0.25">
      <c r="B131" s="7"/>
      <c r="AP131" s="9"/>
      <c r="AR131" s="7"/>
      <c r="CF131" s="9"/>
      <c r="DY131" s="1"/>
      <c r="DZ131" s="1"/>
      <c r="EA131" s="1"/>
      <c r="ED131" s="1"/>
      <c r="EE131" s="1"/>
      <c r="EF131" s="1"/>
      <c r="EG131" s="1"/>
      <c r="EH131" s="1"/>
      <c r="EI131" s="1"/>
      <c r="EJ131" s="1"/>
      <c r="EK131" s="1"/>
      <c r="EL131" s="1"/>
      <c r="EM131" s="1"/>
      <c r="EN131" s="1"/>
      <c r="EO131" s="1"/>
      <c r="EP131" s="1"/>
      <c r="EQ131" s="1"/>
      <c r="ER131" s="1"/>
    </row>
    <row r="132" spans="2:148" ht="18" customHeight="1" x14ac:dyDescent="0.25">
      <c r="B132" s="7"/>
      <c r="AP132" s="9"/>
      <c r="AR132" s="7"/>
      <c r="CF132" s="9"/>
      <c r="DY132" s="1"/>
      <c r="DZ132" s="1"/>
      <c r="EA132" s="1"/>
      <c r="ED132" s="1"/>
      <c r="EE132" s="1"/>
      <c r="EF132" s="1"/>
      <c r="EG132" s="1"/>
      <c r="EH132" s="1"/>
      <c r="EI132" s="1"/>
      <c r="EJ132" s="1"/>
      <c r="EK132" s="1"/>
      <c r="EL132" s="1"/>
      <c r="EM132" s="1"/>
      <c r="EN132" s="1"/>
      <c r="EO132" s="1"/>
      <c r="EP132" s="1"/>
      <c r="EQ132" s="1"/>
      <c r="ER132" s="1"/>
    </row>
    <row r="133" spans="2:148" ht="18" customHeight="1" x14ac:dyDescent="0.25">
      <c r="B133" s="7"/>
      <c r="AP133" s="9"/>
      <c r="AR133" s="7"/>
      <c r="CF133" s="9"/>
      <c r="DY133" s="1"/>
      <c r="DZ133" s="1"/>
      <c r="EA133" s="1"/>
      <c r="ED133" s="1"/>
      <c r="EE133" s="1"/>
      <c r="EF133" s="1"/>
      <c r="EG133" s="1"/>
      <c r="EH133" s="1"/>
      <c r="EI133" s="1"/>
      <c r="EJ133" s="1"/>
      <c r="EK133" s="1"/>
      <c r="EL133" s="1"/>
      <c r="EM133" s="1"/>
      <c r="EN133" s="1"/>
      <c r="EO133" s="1"/>
      <c r="EP133" s="1"/>
      <c r="EQ133" s="1"/>
      <c r="ER133" s="1"/>
    </row>
    <row r="134" spans="2:148" ht="18" customHeight="1" x14ac:dyDescent="0.25">
      <c r="B134" s="7"/>
      <c r="AP134" s="9"/>
      <c r="AR134" s="7"/>
      <c r="CF134" s="9"/>
      <c r="DY134" s="1"/>
      <c r="DZ134" s="1"/>
      <c r="EA134" s="1"/>
      <c r="ED134" s="1"/>
      <c r="EE134" s="1"/>
      <c r="EF134" s="1"/>
      <c r="EG134" s="1"/>
      <c r="EH134" s="1"/>
      <c r="EI134" s="1"/>
      <c r="EJ134" s="1"/>
      <c r="EK134" s="1"/>
      <c r="EL134" s="1"/>
      <c r="EM134" s="1"/>
      <c r="EN134" s="1"/>
      <c r="EO134" s="1"/>
      <c r="EP134" s="1"/>
      <c r="EQ134" s="1"/>
      <c r="ER134" s="1"/>
    </row>
    <row r="135" spans="2:148" ht="18" customHeight="1" x14ac:dyDescent="0.25">
      <c r="B135" s="7"/>
      <c r="AP135" s="9"/>
      <c r="AR135" s="7"/>
      <c r="CF135" s="9"/>
      <c r="DY135" s="1"/>
      <c r="DZ135" s="1"/>
      <c r="EA135" s="1"/>
      <c r="ED135" s="1"/>
      <c r="EE135" s="1"/>
      <c r="EF135" s="1"/>
      <c r="EG135" s="1"/>
      <c r="EH135" s="1"/>
      <c r="EI135" s="1"/>
      <c r="EJ135" s="1"/>
      <c r="EK135" s="1"/>
      <c r="EL135" s="1"/>
      <c r="EM135" s="1"/>
      <c r="EN135" s="1"/>
      <c r="EO135" s="1"/>
      <c r="EP135" s="1"/>
      <c r="EQ135" s="1"/>
      <c r="ER135" s="1"/>
    </row>
    <row r="136" spans="2:148" ht="18" customHeight="1" x14ac:dyDescent="0.25">
      <c r="B136" s="7"/>
      <c r="AP136" s="9"/>
      <c r="AR136" s="7"/>
      <c r="CF136" s="9"/>
      <c r="DY136" s="1"/>
      <c r="DZ136" s="1"/>
      <c r="EA136" s="1"/>
      <c r="ED136" s="1"/>
      <c r="EE136" s="1"/>
      <c r="EF136" s="1"/>
      <c r="EG136" s="1"/>
      <c r="EH136" s="1"/>
      <c r="EI136" s="1"/>
      <c r="EJ136" s="1"/>
      <c r="EK136" s="1"/>
      <c r="EL136" s="1"/>
      <c r="EM136" s="1"/>
      <c r="EN136" s="1"/>
      <c r="EO136" s="1"/>
      <c r="EP136" s="1"/>
      <c r="EQ136" s="1"/>
      <c r="ER136" s="1"/>
    </row>
    <row r="137" spans="2:148" ht="18" customHeight="1" x14ac:dyDescent="0.25">
      <c r="B137" s="7"/>
      <c r="AP137" s="9"/>
      <c r="AR137" s="7"/>
      <c r="CF137" s="9"/>
      <c r="DY137" s="1"/>
      <c r="DZ137" s="1"/>
      <c r="EA137" s="1"/>
      <c r="ED137" s="1"/>
      <c r="EE137" s="1"/>
      <c r="EF137" s="1"/>
      <c r="EG137" s="1"/>
      <c r="EH137" s="1"/>
      <c r="EI137" s="1"/>
      <c r="EJ137" s="1"/>
      <c r="EK137" s="1"/>
      <c r="EL137" s="1"/>
      <c r="EM137" s="1"/>
      <c r="EN137" s="1"/>
      <c r="EO137" s="1"/>
      <c r="EP137" s="1"/>
      <c r="EQ137" s="1"/>
      <c r="ER137" s="1"/>
    </row>
    <row r="138" spans="2:148" ht="18" customHeight="1" x14ac:dyDescent="0.25">
      <c r="B138" s="7"/>
      <c r="AP138" s="9"/>
      <c r="AR138" s="7"/>
      <c r="CF138" s="9"/>
      <c r="DY138" s="1"/>
      <c r="DZ138" s="1"/>
      <c r="EA138" s="1"/>
      <c r="ED138" s="1"/>
      <c r="EE138" s="1"/>
      <c r="EF138" s="1"/>
      <c r="EG138" s="1"/>
      <c r="EH138" s="1"/>
      <c r="EI138" s="1"/>
      <c r="EJ138" s="1"/>
      <c r="EK138" s="1"/>
      <c r="EL138" s="1"/>
      <c r="EM138" s="1"/>
      <c r="EN138" s="1"/>
      <c r="EO138" s="1"/>
      <c r="EP138" s="1"/>
      <c r="EQ138" s="1"/>
      <c r="ER138" s="1"/>
    </row>
    <row r="139" spans="2:148" ht="18" customHeight="1" x14ac:dyDescent="0.25">
      <c r="B139" s="7"/>
      <c r="AP139" s="9"/>
      <c r="AR139" s="7"/>
      <c r="CF139" s="9"/>
      <c r="DY139" s="1"/>
      <c r="DZ139" s="1"/>
      <c r="EA139" s="1"/>
      <c r="ED139" s="1"/>
      <c r="EE139" s="1"/>
      <c r="EF139" s="1"/>
      <c r="EG139" s="1"/>
      <c r="EH139" s="1"/>
      <c r="EI139" s="1"/>
      <c r="EJ139" s="1"/>
      <c r="EK139" s="1"/>
      <c r="EL139" s="1"/>
      <c r="EM139" s="1"/>
      <c r="EN139" s="1"/>
      <c r="EO139" s="1"/>
      <c r="EP139" s="1"/>
      <c r="EQ139" s="1"/>
      <c r="ER139" s="1"/>
    </row>
    <row r="140" spans="2:148" ht="18" customHeight="1" x14ac:dyDescent="0.25">
      <c r="B140" s="7"/>
      <c r="AP140" s="9"/>
      <c r="AR140" s="7"/>
      <c r="CF140" s="9"/>
      <c r="DY140" s="1"/>
      <c r="DZ140" s="1"/>
      <c r="EA140" s="1"/>
      <c r="ED140" s="1"/>
      <c r="EE140" s="1"/>
      <c r="EF140" s="1"/>
      <c r="EG140" s="1"/>
      <c r="EH140" s="1"/>
      <c r="EI140" s="1"/>
      <c r="EJ140" s="1"/>
      <c r="EK140" s="1"/>
      <c r="EL140" s="1"/>
      <c r="EM140" s="1"/>
      <c r="EN140" s="1"/>
      <c r="EO140" s="1"/>
      <c r="EP140" s="1"/>
      <c r="EQ140" s="1"/>
      <c r="ER140" s="1"/>
    </row>
    <row r="141" spans="2:148" ht="18" customHeight="1" x14ac:dyDescent="0.25">
      <c r="B141" s="7"/>
      <c r="AP141" s="9"/>
      <c r="AR141" s="7"/>
      <c r="CF141" s="9"/>
      <c r="DY141" s="1"/>
      <c r="DZ141" s="1"/>
      <c r="EA141" s="1"/>
      <c r="ED141" s="1"/>
      <c r="EE141" s="1"/>
      <c r="EF141" s="1"/>
      <c r="EG141" s="1"/>
      <c r="EH141" s="1"/>
      <c r="EI141" s="1"/>
      <c r="EJ141" s="1"/>
      <c r="EK141" s="1"/>
      <c r="EL141" s="1"/>
      <c r="EM141" s="1"/>
      <c r="EN141" s="1"/>
      <c r="EO141" s="1"/>
      <c r="EP141" s="1"/>
      <c r="EQ141" s="1"/>
      <c r="ER141" s="1"/>
    </row>
    <row r="142" spans="2:148" ht="18" customHeight="1" x14ac:dyDescent="0.25">
      <c r="B142" s="7"/>
      <c r="AP142" s="9"/>
      <c r="AR142" s="7"/>
      <c r="CF142" s="9"/>
      <c r="DY142" s="1"/>
      <c r="DZ142" s="1"/>
      <c r="EA142" s="1"/>
      <c r="ED142" s="1"/>
      <c r="EE142" s="1"/>
      <c r="EF142" s="1"/>
      <c r="EG142" s="1"/>
      <c r="EH142" s="1"/>
      <c r="EI142" s="1"/>
      <c r="EJ142" s="1"/>
      <c r="EK142" s="1"/>
      <c r="EL142" s="1"/>
      <c r="EM142" s="1"/>
      <c r="EN142" s="1"/>
      <c r="EO142" s="1"/>
      <c r="EP142" s="1"/>
      <c r="EQ142" s="1"/>
      <c r="ER142" s="1"/>
    </row>
    <row r="143" spans="2:148" ht="18" customHeight="1" x14ac:dyDescent="0.25">
      <c r="B143" s="7"/>
      <c r="AP143" s="9"/>
      <c r="AR143" s="7"/>
      <c r="CF143" s="9"/>
      <c r="DY143" s="1"/>
      <c r="DZ143" s="1"/>
      <c r="EA143" s="1"/>
      <c r="ED143" s="1"/>
      <c r="EE143" s="1"/>
      <c r="EF143" s="1"/>
      <c r="EG143" s="1"/>
      <c r="EH143" s="1"/>
      <c r="EI143" s="1"/>
      <c r="EJ143" s="1"/>
      <c r="EK143" s="1"/>
      <c r="EL143" s="1"/>
      <c r="EM143" s="1"/>
      <c r="EN143" s="1"/>
      <c r="EO143" s="1"/>
      <c r="EP143" s="1"/>
      <c r="EQ143" s="1"/>
      <c r="ER143" s="1"/>
    </row>
    <row r="144" spans="2:148" ht="18" customHeight="1" x14ac:dyDescent="0.25">
      <c r="B144" s="7"/>
      <c r="AP144" s="9"/>
      <c r="AR144" s="7"/>
      <c r="CF144" s="9"/>
      <c r="DY144" s="1"/>
      <c r="DZ144" s="1"/>
      <c r="EA144" s="1"/>
      <c r="ED144" s="1"/>
      <c r="EE144" s="1"/>
      <c r="EF144" s="1"/>
      <c r="EG144" s="1"/>
      <c r="EH144" s="1"/>
      <c r="EI144" s="1"/>
      <c r="EJ144" s="1"/>
      <c r="EK144" s="1"/>
      <c r="EL144" s="1"/>
      <c r="EM144" s="1"/>
      <c r="EN144" s="1"/>
      <c r="EO144" s="1"/>
      <c r="EP144" s="1"/>
      <c r="EQ144" s="1"/>
      <c r="ER144" s="1"/>
    </row>
    <row r="145" spans="2:148" ht="18" customHeight="1" thickBot="1" x14ac:dyDescent="0.3">
      <c r="B145" s="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2"/>
      <c r="AP145" s="9"/>
      <c r="AR145" s="7"/>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2"/>
      <c r="CF145" s="9"/>
      <c r="DY145" s="1"/>
      <c r="DZ145" s="1"/>
      <c r="EA145" s="1"/>
      <c r="ED145" s="1"/>
      <c r="EE145" s="1"/>
      <c r="EF145" s="1"/>
      <c r="EG145" s="1"/>
      <c r="EH145" s="1"/>
      <c r="EI145" s="1"/>
      <c r="EJ145" s="1"/>
      <c r="EK145" s="1"/>
      <c r="EL145" s="1"/>
      <c r="EM145" s="1"/>
      <c r="EN145" s="1"/>
      <c r="EO145" s="1"/>
      <c r="EP145" s="1"/>
      <c r="EQ145" s="1"/>
      <c r="ER145" s="1"/>
    </row>
    <row r="146" spans="2:148" ht="18" customHeight="1" x14ac:dyDescent="0.25">
      <c r="B146" s="7"/>
      <c r="D146" s="26" t="s">
        <v>4</v>
      </c>
      <c r="AO146" s="15" t="s">
        <v>8</v>
      </c>
      <c r="AP146" s="9"/>
      <c r="AR146" s="7"/>
      <c r="AT146" s="26" t="s">
        <v>4</v>
      </c>
      <c r="CE146" s="15" t="s">
        <v>9</v>
      </c>
      <c r="CF146" s="9"/>
      <c r="DY146" s="1"/>
      <c r="DZ146" s="1"/>
      <c r="EA146" s="1"/>
      <c r="ED146" s="1"/>
      <c r="EE146" s="1"/>
      <c r="EF146" s="1"/>
      <c r="EG146" s="1"/>
      <c r="EH146" s="1"/>
      <c r="EI146" s="1"/>
      <c r="EJ146" s="1"/>
      <c r="EK146" s="1"/>
      <c r="EL146" s="1"/>
      <c r="EM146" s="1"/>
      <c r="EN146" s="1"/>
      <c r="EO146" s="1"/>
      <c r="EP146" s="1"/>
      <c r="EQ146" s="1"/>
      <c r="ER146" s="1"/>
    </row>
    <row r="147" spans="2:148" ht="18" customHeight="1" x14ac:dyDescent="0.25">
      <c r="B147" s="27"/>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9"/>
      <c r="AR147" s="27"/>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9"/>
      <c r="DY147" s="1"/>
      <c r="DZ147" s="1"/>
      <c r="EA147" s="1"/>
      <c r="ED147" s="1"/>
      <c r="EE147" s="1"/>
      <c r="EF147" s="1"/>
      <c r="EG147" s="1"/>
      <c r="EH147" s="1"/>
      <c r="EI147" s="1"/>
      <c r="EJ147" s="1"/>
      <c r="EK147" s="1"/>
      <c r="EL147" s="1"/>
      <c r="EM147" s="1"/>
      <c r="EN147" s="1"/>
      <c r="EO147" s="1"/>
      <c r="EP147" s="1"/>
      <c r="EQ147" s="1"/>
      <c r="ER147" s="1"/>
    </row>
    <row r="148" spans="2:148" ht="18" customHeight="1" x14ac:dyDescent="0.25">
      <c r="DY148" s="1"/>
      <c r="DZ148" s="1"/>
      <c r="EA148" s="1"/>
      <c r="ED148" s="1"/>
      <c r="EE148" s="1"/>
      <c r="EF148" s="1"/>
      <c r="EG148" s="1"/>
      <c r="EH148" s="1"/>
      <c r="EI148" s="1"/>
      <c r="EJ148" s="1"/>
      <c r="EK148" s="1"/>
      <c r="EL148" s="1"/>
      <c r="EM148" s="1"/>
      <c r="EN148" s="1"/>
      <c r="EO148" s="1"/>
      <c r="EP148" s="1"/>
      <c r="EQ148" s="1"/>
      <c r="ER148" s="1"/>
    </row>
    <row r="149" spans="2:148" ht="18" customHeight="1" x14ac:dyDescent="0.25">
      <c r="B149" s="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R149" s="4"/>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6"/>
      <c r="DY149" s="1"/>
      <c r="DZ149" s="1"/>
      <c r="EA149" s="1"/>
      <c r="ED149" s="1"/>
      <c r="EE149" s="1"/>
      <c r="EF149" s="1"/>
      <c r="EG149" s="1"/>
      <c r="EH149" s="1"/>
      <c r="EI149" s="1"/>
      <c r="EJ149" s="1"/>
      <c r="EK149" s="1"/>
      <c r="EL149" s="1"/>
      <c r="EM149" s="1"/>
      <c r="EN149" s="1"/>
      <c r="EO149" s="1"/>
      <c r="EP149" s="1"/>
      <c r="EQ149" s="1"/>
      <c r="ER149" s="1"/>
    </row>
    <row r="150" spans="2:148" ht="18" customHeight="1" x14ac:dyDescent="0.25">
      <c r="B150" s="7"/>
      <c r="AN150" s="8"/>
      <c r="AP150" s="9"/>
      <c r="AR150" s="7"/>
      <c r="CD150" s="8"/>
      <c r="CF150" s="9"/>
      <c r="DY150" s="1"/>
      <c r="DZ150" s="1"/>
      <c r="EA150" s="1"/>
      <c r="ED150" s="1"/>
      <c r="EE150" s="1"/>
      <c r="EF150" s="1"/>
      <c r="EG150" s="1"/>
      <c r="EH150" s="1"/>
      <c r="EI150" s="1"/>
      <c r="EJ150" s="1"/>
      <c r="EK150" s="1"/>
      <c r="EL150" s="1"/>
      <c r="EM150" s="1"/>
      <c r="EN150" s="1"/>
      <c r="EO150" s="1"/>
      <c r="EP150" s="1"/>
      <c r="EQ150" s="1"/>
      <c r="ER150" s="1"/>
    </row>
    <row r="151" spans="2:148" ht="18" customHeight="1" x14ac:dyDescent="0.25">
      <c r="B151" s="7"/>
      <c r="AN151" s="10"/>
      <c r="AP151" s="9"/>
      <c r="AR151" s="7"/>
      <c r="CD151" s="10"/>
      <c r="CF151" s="9"/>
      <c r="DY151" s="1"/>
      <c r="DZ151" s="1"/>
      <c r="EA151" s="1"/>
      <c r="ED151" s="1"/>
      <c r="EE151" s="1"/>
      <c r="EF151" s="1"/>
      <c r="EG151" s="1"/>
      <c r="EH151" s="1"/>
      <c r="EI151" s="1"/>
      <c r="EJ151" s="1"/>
      <c r="EK151" s="1"/>
      <c r="EL151" s="1"/>
      <c r="EM151" s="1"/>
      <c r="EN151" s="1"/>
      <c r="EO151" s="1"/>
      <c r="EP151" s="1"/>
      <c r="EQ151" s="1"/>
      <c r="ER151" s="1"/>
    </row>
    <row r="152" spans="2:148" ht="18" customHeight="1" thickBot="1" x14ac:dyDescent="0.3">
      <c r="B152" s="7"/>
      <c r="C152" s="11" t="s">
        <v>81</v>
      </c>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2"/>
      <c r="AO152" s="11"/>
      <c r="AP152" s="9"/>
      <c r="AR152" s="7"/>
      <c r="AS152" s="11" t="s">
        <v>81</v>
      </c>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2"/>
      <c r="CE152" s="11"/>
      <c r="CF152" s="9"/>
      <c r="DY152" s="1"/>
      <c r="DZ152" s="1"/>
      <c r="EA152" s="1"/>
      <c r="ED152" s="1"/>
      <c r="EE152" s="1"/>
      <c r="EF152" s="1"/>
      <c r="EG152" s="1"/>
      <c r="EH152" s="1"/>
      <c r="EI152" s="1"/>
      <c r="EJ152" s="1"/>
      <c r="EK152" s="1"/>
      <c r="EL152" s="1"/>
      <c r="EM152" s="1"/>
      <c r="EN152" s="1"/>
      <c r="EO152" s="1"/>
      <c r="EP152" s="1"/>
      <c r="EQ152" s="1"/>
      <c r="ER152" s="1"/>
    </row>
    <row r="153" spans="2:148" ht="18" customHeight="1" x14ac:dyDescent="0.25">
      <c r="B153" s="7"/>
      <c r="AP153" s="9"/>
      <c r="AR153" s="7"/>
      <c r="CF153" s="9"/>
      <c r="DY153" s="1"/>
      <c r="DZ153" s="1"/>
      <c r="EA153" s="1"/>
      <c r="ED153" s="1"/>
      <c r="EE153" s="1"/>
      <c r="EF153" s="1"/>
      <c r="EG153" s="1"/>
      <c r="EH153" s="1"/>
      <c r="EI153" s="1"/>
      <c r="EJ153" s="1"/>
      <c r="EK153" s="1"/>
      <c r="EL153" s="1"/>
      <c r="EM153" s="1"/>
      <c r="EN153" s="1"/>
      <c r="EO153" s="1"/>
      <c r="EP153" s="1"/>
      <c r="EQ153" s="1"/>
      <c r="ER153" s="1"/>
    </row>
    <row r="154" spans="2:148" ht="18" customHeight="1" x14ac:dyDescent="0.25">
      <c r="B154" s="7"/>
      <c r="AP154" s="9"/>
      <c r="AR154" s="7"/>
      <c r="CF154" s="9"/>
      <c r="DY154" s="1"/>
      <c r="DZ154" s="1"/>
      <c r="EA154" s="1"/>
      <c r="ED154" s="1"/>
      <c r="EE154" s="1"/>
      <c r="EF154" s="1"/>
      <c r="EG154" s="1"/>
      <c r="EH154" s="1"/>
      <c r="EI154" s="1"/>
      <c r="EJ154" s="1"/>
      <c r="EK154" s="1"/>
      <c r="EL154" s="1"/>
      <c r="EM154" s="1"/>
      <c r="EN154" s="1"/>
      <c r="EO154" s="1"/>
      <c r="EP154" s="1"/>
      <c r="EQ154" s="1"/>
      <c r="ER154" s="1"/>
    </row>
    <row r="155" spans="2:148" ht="18" customHeight="1" x14ac:dyDescent="0.25">
      <c r="B155" s="7"/>
      <c r="AP155" s="9"/>
      <c r="AR155" s="7"/>
      <c r="CF155" s="9"/>
      <c r="DY155" s="1"/>
      <c r="DZ155" s="1"/>
      <c r="EA155" s="1"/>
      <c r="ED155" s="1"/>
      <c r="EE155" s="1"/>
      <c r="EF155" s="1"/>
      <c r="EG155" s="1"/>
      <c r="EH155" s="1"/>
      <c r="EI155" s="1"/>
      <c r="EJ155" s="1"/>
      <c r="EK155" s="1"/>
      <c r="EL155" s="1"/>
      <c r="EM155" s="1"/>
      <c r="EN155" s="1"/>
      <c r="EO155" s="1"/>
      <c r="EP155" s="1"/>
      <c r="EQ155" s="1"/>
      <c r="ER155" s="1"/>
    </row>
    <row r="156" spans="2:148" ht="18" customHeight="1" x14ac:dyDescent="0.25">
      <c r="B156" s="7"/>
      <c r="AP156" s="9"/>
      <c r="AR156" s="7"/>
      <c r="CF156" s="9"/>
      <c r="DY156" s="1"/>
      <c r="DZ156" s="1"/>
      <c r="EA156" s="1"/>
      <c r="ED156" s="1"/>
      <c r="EE156" s="1"/>
      <c r="EF156" s="1"/>
      <c r="EG156" s="1"/>
      <c r="EH156" s="1"/>
      <c r="EI156" s="1"/>
      <c r="EJ156" s="1"/>
      <c r="EK156" s="1"/>
      <c r="EL156" s="1"/>
      <c r="EM156" s="1"/>
      <c r="EN156" s="1"/>
      <c r="EO156" s="1"/>
      <c r="EP156" s="1"/>
      <c r="EQ156" s="1"/>
      <c r="ER156" s="1"/>
    </row>
    <row r="157" spans="2:148" ht="18" customHeight="1" x14ac:dyDescent="0.25">
      <c r="B157" s="7"/>
      <c r="AP157" s="9"/>
      <c r="AR157" s="7"/>
      <c r="CF157" s="9"/>
      <c r="DY157" s="1"/>
      <c r="DZ157" s="1"/>
      <c r="EA157" s="1"/>
      <c r="ED157" s="1"/>
      <c r="EE157" s="1"/>
      <c r="EF157" s="1"/>
      <c r="EG157" s="1"/>
      <c r="EH157" s="1"/>
      <c r="EI157" s="1"/>
      <c r="EJ157" s="1"/>
      <c r="EK157" s="1"/>
      <c r="EL157" s="1"/>
      <c r="EM157" s="1"/>
      <c r="EN157" s="1"/>
      <c r="EO157" s="1"/>
      <c r="EP157" s="1"/>
      <c r="EQ157" s="1"/>
      <c r="ER157" s="1"/>
    </row>
    <row r="158" spans="2:148" ht="18" customHeight="1" x14ac:dyDescent="0.25">
      <c r="B158" s="7"/>
      <c r="AP158" s="9"/>
      <c r="AR158" s="7"/>
      <c r="CF158" s="9"/>
      <c r="DY158" s="1"/>
      <c r="DZ158" s="1"/>
      <c r="EA158" s="1"/>
      <c r="ED158" s="1"/>
      <c r="EE158" s="1"/>
      <c r="EF158" s="1"/>
      <c r="EG158" s="1"/>
      <c r="EH158" s="1"/>
      <c r="EI158" s="1"/>
      <c r="EJ158" s="1"/>
      <c r="EK158" s="1"/>
      <c r="EL158" s="1"/>
      <c r="EM158" s="1"/>
      <c r="EN158" s="1"/>
      <c r="EO158" s="1"/>
      <c r="EP158" s="1"/>
      <c r="EQ158" s="1"/>
      <c r="ER158" s="1"/>
    </row>
    <row r="159" spans="2:148" ht="18" customHeight="1" x14ac:dyDescent="0.25">
      <c r="B159" s="7"/>
      <c r="AP159" s="9"/>
      <c r="AR159" s="7"/>
      <c r="CF159" s="9"/>
      <c r="DY159" s="1"/>
      <c r="DZ159" s="1"/>
      <c r="EA159" s="1"/>
      <c r="ED159" s="1"/>
      <c r="EE159" s="1"/>
      <c r="EF159" s="1"/>
      <c r="EG159" s="1"/>
      <c r="EH159" s="1"/>
      <c r="EI159" s="1"/>
      <c r="EJ159" s="1"/>
      <c r="EK159" s="1"/>
      <c r="EL159" s="1"/>
      <c r="EM159" s="1"/>
      <c r="EN159" s="1"/>
      <c r="EO159" s="1"/>
      <c r="EP159" s="1"/>
      <c r="EQ159" s="1"/>
      <c r="ER159" s="1"/>
    </row>
    <row r="160" spans="2:148" ht="18" customHeight="1" x14ac:dyDescent="0.25">
      <c r="B160" s="7"/>
      <c r="AP160" s="9"/>
      <c r="AR160" s="7"/>
      <c r="CF160" s="9"/>
      <c r="DY160" s="1"/>
      <c r="DZ160" s="1"/>
      <c r="EA160" s="1"/>
      <c r="ED160" s="1"/>
      <c r="EE160" s="1"/>
      <c r="EF160" s="1"/>
      <c r="EG160" s="1"/>
      <c r="EH160" s="1"/>
      <c r="EI160" s="1"/>
      <c r="EJ160" s="1"/>
      <c r="EK160" s="1"/>
      <c r="EL160" s="1"/>
      <c r="EM160" s="1"/>
      <c r="EN160" s="1"/>
      <c r="EO160" s="1"/>
      <c r="EP160" s="1"/>
      <c r="EQ160" s="1"/>
      <c r="ER160" s="1"/>
    </row>
    <row r="161" spans="2:148" ht="18" customHeight="1" x14ac:dyDescent="0.25">
      <c r="B161" s="7"/>
      <c r="AP161" s="9"/>
      <c r="AR161" s="7"/>
      <c r="CF161" s="9"/>
      <c r="DY161" s="1"/>
      <c r="DZ161" s="1"/>
      <c r="EA161" s="1"/>
      <c r="ED161" s="1"/>
      <c r="EE161" s="1"/>
      <c r="EF161" s="1"/>
      <c r="EG161" s="1"/>
      <c r="EH161" s="1"/>
      <c r="EI161" s="1"/>
      <c r="EJ161" s="1"/>
      <c r="EK161" s="1"/>
      <c r="EL161" s="1"/>
      <c r="EM161" s="1"/>
      <c r="EN161" s="1"/>
      <c r="EO161" s="1"/>
      <c r="EP161" s="1"/>
      <c r="EQ161" s="1"/>
      <c r="ER161" s="1"/>
    </row>
    <row r="162" spans="2:148" ht="18" customHeight="1" x14ac:dyDescent="0.25">
      <c r="B162" s="7"/>
      <c r="AP162" s="9"/>
      <c r="AR162" s="7"/>
      <c r="CF162" s="9"/>
      <c r="DY162" s="1"/>
      <c r="DZ162" s="1"/>
      <c r="EA162" s="1"/>
      <c r="ED162" s="1"/>
      <c r="EE162" s="1"/>
      <c r="EF162" s="1"/>
      <c r="EG162" s="1"/>
      <c r="EH162" s="1"/>
      <c r="EI162" s="1"/>
      <c r="EJ162" s="1"/>
      <c r="EK162" s="1"/>
      <c r="EL162" s="1"/>
      <c r="EM162" s="1"/>
      <c r="EN162" s="1"/>
      <c r="EO162" s="1"/>
      <c r="EP162" s="1"/>
      <c r="EQ162" s="1"/>
      <c r="ER162" s="1"/>
    </row>
    <row r="163" spans="2:148" ht="18" customHeight="1" x14ac:dyDescent="0.25">
      <c r="B163" s="7"/>
      <c r="AP163" s="9"/>
      <c r="AR163" s="7"/>
      <c r="CF163" s="9"/>
      <c r="DY163" s="1"/>
      <c r="DZ163" s="1"/>
      <c r="EA163" s="1"/>
      <c r="ED163" s="1"/>
      <c r="EE163" s="1"/>
      <c r="EF163" s="1"/>
      <c r="EG163" s="1"/>
      <c r="EH163" s="1"/>
      <c r="EI163" s="1"/>
      <c r="EJ163" s="1"/>
      <c r="EK163" s="1"/>
      <c r="EL163" s="1"/>
      <c r="EM163" s="1"/>
      <c r="EN163" s="1"/>
      <c r="EO163" s="1"/>
      <c r="EP163" s="1"/>
      <c r="EQ163" s="1"/>
      <c r="ER163" s="1"/>
    </row>
    <row r="164" spans="2:148" ht="18" customHeight="1" x14ac:dyDescent="0.25">
      <c r="B164" s="7"/>
      <c r="AP164" s="9"/>
      <c r="AR164" s="7"/>
      <c r="CF164" s="9"/>
      <c r="DY164" s="1"/>
      <c r="DZ164" s="1"/>
      <c r="EA164" s="1"/>
      <c r="ED164" s="1"/>
      <c r="EE164" s="1"/>
      <c r="EF164" s="1"/>
      <c r="EG164" s="1"/>
      <c r="EH164" s="1"/>
      <c r="EI164" s="1"/>
      <c r="EJ164" s="1"/>
      <c r="EK164" s="1"/>
      <c r="EL164" s="1"/>
      <c r="EM164" s="1"/>
      <c r="EN164" s="1"/>
      <c r="EO164" s="1"/>
      <c r="EP164" s="1"/>
      <c r="EQ164" s="1"/>
      <c r="ER164" s="1"/>
    </row>
    <row r="165" spans="2:148" ht="18" customHeight="1" x14ac:dyDescent="0.25">
      <c r="B165" s="7"/>
      <c r="AP165" s="9"/>
      <c r="AR165" s="7"/>
      <c r="CF165" s="9"/>
      <c r="DY165" s="1"/>
      <c r="DZ165" s="1"/>
      <c r="EA165" s="1"/>
      <c r="ED165" s="1"/>
      <c r="EE165" s="1"/>
      <c r="EF165" s="1"/>
      <c r="EG165" s="1"/>
      <c r="EH165" s="1"/>
      <c r="EI165" s="1"/>
      <c r="EJ165" s="1"/>
      <c r="EK165" s="1"/>
      <c r="EL165" s="1"/>
      <c r="EM165" s="1"/>
      <c r="EN165" s="1"/>
      <c r="EO165" s="1"/>
      <c r="EP165" s="1"/>
      <c r="EQ165" s="1"/>
      <c r="ER165" s="1"/>
    </row>
    <row r="166" spans="2:148" ht="18" customHeight="1" x14ac:dyDescent="0.25">
      <c r="B166" s="7"/>
      <c r="AP166" s="9"/>
      <c r="AR166" s="7"/>
      <c r="CF166" s="9"/>
      <c r="DY166" s="1"/>
      <c r="DZ166" s="1"/>
      <c r="EA166" s="1"/>
      <c r="ED166" s="1"/>
      <c r="EE166" s="1"/>
      <c r="EF166" s="1"/>
      <c r="EG166" s="1"/>
      <c r="EH166" s="1"/>
      <c r="EI166" s="1"/>
      <c r="EJ166" s="1"/>
      <c r="EK166" s="1"/>
      <c r="EL166" s="1"/>
      <c r="EM166" s="1"/>
      <c r="EN166" s="1"/>
      <c r="EO166" s="1"/>
      <c r="EP166" s="1"/>
      <c r="EQ166" s="1"/>
      <c r="ER166" s="1"/>
    </row>
    <row r="167" spans="2:148" ht="18" customHeight="1" x14ac:dyDescent="0.25">
      <c r="B167" s="7"/>
      <c r="AP167" s="9"/>
      <c r="AR167" s="7"/>
      <c r="CF167" s="9"/>
      <c r="DY167" s="1"/>
      <c r="DZ167" s="1"/>
      <c r="EA167" s="1"/>
      <c r="ED167" s="1"/>
      <c r="EE167" s="1"/>
      <c r="EF167" s="1"/>
      <c r="EG167" s="1"/>
      <c r="EH167" s="1"/>
      <c r="EI167" s="1"/>
      <c r="EJ167" s="1"/>
      <c r="EK167" s="1"/>
      <c r="EL167" s="1"/>
      <c r="EM167" s="1"/>
      <c r="EN167" s="1"/>
      <c r="EO167" s="1"/>
      <c r="EP167" s="1"/>
      <c r="EQ167" s="1"/>
      <c r="ER167" s="1"/>
    </row>
    <row r="168" spans="2:148" ht="18" customHeight="1" x14ac:dyDescent="0.25">
      <c r="B168" s="7"/>
      <c r="AP168" s="9"/>
      <c r="AR168" s="7"/>
      <c r="CF168" s="9"/>
      <c r="DY168" s="1"/>
      <c r="DZ168" s="1"/>
      <c r="EA168" s="1"/>
      <c r="ED168" s="1"/>
      <c r="EE168" s="1"/>
      <c r="EF168" s="1"/>
      <c r="EG168" s="1"/>
      <c r="EH168" s="1"/>
      <c r="EI168" s="1"/>
      <c r="EJ168" s="1"/>
      <c r="EK168" s="1"/>
      <c r="EL168" s="1"/>
      <c r="EM168" s="1"/>
      <c r="EN168" s="1"/>
      <c r="EO168" s="1"/>
      <c r="EP168" s="1"/>
      <c r="EQ168" s="1"/>
      <c r="ER168" s="1"/>
    </row>
    <row r="169" spans="2:148" ht="18" customHeight="1" x14ac:dyDescent="0.25">
      <c r="B169" s="7"/>
      <c r="AP169" s="9"/>
      <c r="AR169" s="7"/>
      <c r="CF169" s="9"/>
      <c r="DY169" s="1"/>
      <c r="DZ169" s="1"/>
      <c r="EA169" s="1"/>
      <c r="ED169" s="1"/>
      <c r="EE169" s="1"/>
      <c r="EF169" s="1"/>
      <c r="EG169" s="1"/>
      <c r="EH169" s="1"/>
      <c r="EI169" s="1"/>
      <c r="EJ169" s="1"/>
      <c r="EK169" s="1"/>
      <c r="EL169" s="1"/>
      <c r="EM169" s="1"/>
      <c r="EN169" s="1"/>
      <c r="EO169" s="1"/>
      <c r="EP169" s="1"/>
      <c r="EQ169" s="1"/>
      <c r="ER169" s="1"/>
    </row>
    <row r="170" spans="2:148" ht="18" customHeight="1" x14ac:dyDescent="0.25">
      <c r="B170" s="7"/>
      <c r="AP170" s="9"/>
      <c r="AR170" s="7"/>
      <c r="CF170" s="9"/>
      <c r="DY170" s="1"/>
      <c r="DZ170" s="1"/>
      <c r="EA170" s="1"/>
      <c r="ED170" s="1"/>
      <c r="EE170" s="1"/>
      <c r="EF170" s="1"/>
      <c r="EG170" s="1"/>
      <c r="EH170" s="1"/>
      <c r="EI170" s="1"/>
      <c r="EJ170" s="1"/>
      <c r="EK170" s="1"/>
      <c r="EL170" s="1"/>
      <c r="EM170" s="1"/>
      <c r="EN170" s="1"/>
      <c r="EO170" s="1"/>
      <c r="EP170" s="1"/>
      <c r="EQ170" s="1"/>
      <c r="ER170" s="1"/>
    </row>
    <row r="171" spans="2:148" ht="18" customHeight="1" x14ac:dyDescent="0.25">
      <c r="B171" s="7"/>
      <c r="AP171" s="9"/>
      <c r="AR171" s="7"/>
      <c r="CF171" s="9"/>
      <c r="DY171" s="1"/>
      <c r="DZ171" s="1"/>
      <c r="EA171" s="1"/>
      <c r="ED171" s="1"/>
      <c r="EE171" s="1"/>
      <c r="EF171" s="1"/>
      <c r="EG171" s="1"/>
      <c r="EH171" s="1"/>
      <c r="EI171" s="1"/>
      <c r="EJ171" s="1"/>
      <c r="EK171" s="1"/>
      <c r="EL171" s="1"/>
      <c r="EM171" s="1"/>
      <c r="EN171" s="1"/>
      <c r="EO171" s="1"/>
      <c r="EP171" s="1"/>
      <c r="EQ171" s="1"/>
      <c r="ER171" s="1"/>
    </row>
    <row r="172" spans="2:148" ht="18" customHeight="1" x14ac:dyDescent="0.25">
      <c r="B172" s="7"/>
      <c r="AP172" s="9"/>
      <c r="AR172" s="7"/>
      <c r="CF172" s="9"/>
      <c r="DY172" s="1"/>
      <c r="DZ172" s="1"/>
      <c r="EA172" s="1"/>
      <c r="ED172" s="1"/>
      <c r="EE172" s="1"/>
      <c r="EF172" s="1"/>
      <c r="EG172" s="1"/>
      <c r="EH172" s="1"/>
      <c r="EI172" s="1"/>
      <c r="EJ172" s="1"/>
      <c r="EK172" s="1"/>
      <c r="EL172" s="1"/>
      <c r="EM172" s="1"/>
      <c r="EN172" s="1"/>
      <c r="EO172" s="1"/>
      <c r="EP172" s="1"/>
      <c r="EQ172" s="1"/>
      <c r="ER172" s="1"/>
    </row>
    <row r="173" spans="2:148" ht="18" customHeight="1" x14ac:dyDescent="0.25">
      <c r="B173" s="7"/>
      <c r="AP173" s="9"/>
      <c r="AR173" s="7"/>
      <c r="CF173" s="9"/>
      <c r="DY173" s="1"/>
      <c r="DZ173" s="1"/>
      <c r="EA173" s="1"/>
      <c r="ED173" s="1"/>
      <c r="EE173" s="1"/>
      <c r="EF173" s="1"/>
      <c r="EG173" s="1"/>
      <c r="EH173" s="1"/>
      <c r="EI173" s="1"/>
      <c r="EJ173" s="1"/>
      <c r="EK173" s="1"/>
      <c r="EL173" s="1"/>
      <c r="EM173" s="1"/>
      <c r="EN173" s="1"/>
      <c r="EO173" s="1"/>
      <c r="EP173" s="1"/>
      <c r="EQ173" s="1"/>
      <c r="ER173" s="1"/>
    </row>
    <row r="174" spans="2:148" ht="18" customHeight="1" x14ac:dyDescent="0.25">
      <c r="B174" s="7"/>
      <c r="AP174" s="9"/>
      <c r="AR174" s="7"/>
      <c r="CF174" s="9"/>
      <c r="DY174" s="1"/>
      <c r="DZ174" s="1"/>
      <c r="EA174" s="1"/>
      <c r="ED174" s="1"/>
      <c r="EE174" s="1"/>
      <c r="EF174" s="1"/>
      <c r="EG174" s="1"/>
      <c r="EH174" s="1"/>
      <c r="EI174" s="1"/>
      <c r="EJ174" s="1"/>
      <c r="EK174" s="1"/>
      <c r="EL174" s="1"/>
      <c r="EM174" s="1"/>
      <c r="EN174" s="1"/>
      <c r="EO174" s="1"/>
      <c r="EP174" s="1"/>
      <c r="EQ174" s="1"/>
      <c r="ER174" s="1"/>
    </row>
    <row r="175" spans="2:148" ht="18" customHeight="1" x14ac:dyDescent="0.25">
      <c r="B175" s="7"/>
      <c r="AP175" s="9"/>
      <c r="AR175" s="7"/>
      <c r="CF175" s="9"/>
      <c r="DY175" s="1"/>
      <c r="DZ175" s="1"/>
      <c r="EA175" s="1"/>
      <c r="ED175" s="1"/>
      <c r="EE175" s="1"/>
      <c r="EF175" s="1"/>
      <c r="EG175" s="1"/>
      <c r="EH175" s="1"/>
      <c r="EI175" s="1"/>
      <c r="EJ175" s="1"/>
      <c r="EK175" s="1"/>
      <c r="EL175" s="1"/>
      <c r="EM175" s="1"/>
      <c r="EN175" s="1"/>
      <c r="EO175" s="1"/>
      <c r="EP175" s="1"/>
      <c r="EQ175" s="1"/>
      <c r="ER175" s="1"/>
    </row>
    <row r="176" spans="2:148" ht="18" customHeight="1" x14ac:dyDescent="0.25">
      <c r="B176" s="7"/>
      <c r="AP176" s="9"/>
      <c r="AR176" s="7"/>
      <c r="CF176" s="9"/>
      <c r="DY176" s="1"/>
      <c r="DZ176" s="1"/>
      <c r="EA176" s="1"/>
      <c r="ED176" s="1"/>
      <c r="EE176" s="1"/>
      <c r="EF176" s="1"/>
      <c r="EG176" s="1"/>
      <c r="EH176" s="1"/>
      <c r="EI176" s="1"/>
      <c r="EJ176" s="1"/>
      <c r="EK176" s="1"/>
      <c r="EL176" s="1"/>
      <c r="EM176" s="1"/>
      <c r="EN176" s="1"/>
      <c r="EO176" s="1"/>
      <c r="EP176" s="1"/>
      <c r="EQ176" s="1"/>
      <c r="ER176" s="1"/>
    </row>
    <row r="177" spans="2:148" ht="18" customHeight="1" x14ac:dyDescent="0.25">
      <c r="B177" s="7"/>
      <c r="AP177" s="9"/>
      <c r="AR177" s="7"/>
      <c r="CF177" s="9"/>
      <c r="DY177" s="1"/>
      <c r="DZ177" s="1"/>
      <c r="EA177" s="1"/>
      <c r="ED177" s="1"/>
      <c r="EE177" s="1"/>
      <c r="EF177" s="1"/>
      <c r="EG177" s="1"/>
      <c r="EH177" s="1"/>
      <c r="EI177" s="1"/>
      <c r="EJ177" s="1"/>
      <c r="EK177" s="1"/>
      <c r="EL177" s="1"/>
      <c r="EM177" s="1"/>
      <c r="EN177" s="1"/>
      <c r="EO177" s="1"/>
      <c r="EP177" s="1"/>
      <c r="EQ177" s="1"/>
      <c r="ER177" s="1"/>
    </row>
    <row r="178" spans="2:148" ht="18" customHeight="1" x14ac:dyDescent="0.25">
      <c r="B178" s="7"/>
      <c r="AP178" s="9"/>
      <c r="AR178" s="7"/>
      <c r="CF178" s="9"/>
      <c r="DY178" s="1"/>
      <c r="DZ178" s="1"/>
      <c r="EA178" s="1"/>
      <c r="ED178" s="1"/>
      <c r="EE178" s="1"/>
      <c r="EF178" s="1"/>
      <c r="EG178" s="1"/>
      <c r="EH178" s="1"/>
      <c r="EI178" s="1"/>
      <c r="EJ178" s="1"/>
      <c r="EK178" s="1"/>
      <c r="EL178" s="1"/>
      <c r="EM178" s="1"/>
      <c r="EN178" s="1"/>
      <c r="EO178" s="1"/>
      <c r="EP178" s="1"/>
      <c r="EQ178" s="1"/>
      <c r="ER178" s="1"/>
    </row>
    <row r="179" spans="2:148" ht="18" customHeight="1" x14ac:dyDescent="0.25">
      <c r="B179" s="7"/>
      <c r="AP179" s="9"/>
      <c r="AR179" s="7"/>
      <c r="CF179" s="9"/>
      <c r="DY179" s="1"/>
      <c r="DZ179" s="1"/>
      <c r="EA179" s="1"/>
      <c r="ED179" s="1"/>
      <c r="EE179" s="1"/>
      <c r="EF179" s="1"/>
      <c r="EG179" s="1"/>
      <c r="EH179" s="1"/>
      <c r="EI179" s="1"/>
      <c r="EJ179" s="1"/>
      <c r="EK179" s="1"/>
      <c r="EL179" s="1"/>
      <c r="EM179" s="1"/>
      <c r="EN179" s="1"/>
      <c r="EO179" s="1"/>
      <c r="EP179" s="1"/>
      <c r="EQ179" s="1"/>
      <c r="ER179" s="1"/>
    </row>
    <row r="180" spans="2:148" ht="18" customHeight="1" x14ac:dyDescent="0.25">
      <c r="B180" s="7"/>
      <c r="AP180" s="9"/>
      <c r="AR180" s="7"/>
      <c r="CF180" s="9"/>
      <c r="DY180" s="1"/>
      <c r="DZ180" s="1"/>
      <c r="EA180" s="1"/>
      <c r="ED180" s="1"/>
      <c r="EE180" s="1"/>
      <c r="EF180" s="1"/>
      <c r="EG180" s="1"/>
      <c r="EH180" s="1"/>
      <c r="EI180" s="1"/>
      <c r="EJ180" s="1"/>
      <c r="EK180" s="1"/>
      <c r="EL180" s="1"/>
      <c r="EM180" s="1"/>
      <c r="EN180" s="1"/>
      <c r="EO180" s="1"/>
      <c r="EP180" s="1"/>
      <c r="EQ180" s="1"/>
      <c r="ER180" s="1"/>
    </row>
    <row r="181" spans="2:148" ht="18" customHeight="1" x14ac:dyDescent="0.25">
      <c r="B181" s="7"/>
      <c r="AP181" s="9"/>
      <c r="AR181" s="7"/>
      <c r="CF181" s="9"/>
      <c r="DY181" s="1"/>
      <c r="DZ181" s="1"/>
      <c r="EA181" s="1"/>
      <c r="ED181" s="1"/>
      <c r="EE181" s="1"/>
      <c r="EF181" s="1"/>
      <c r="EG181" s="1"/>
      <c r="EH181" s="1"/>
      <c r="EI181" s="1"/>
      <c r="EJ181" s="1"/>
      <c r="EK181" s="1"/>
      <c r="EL181" s="1"/>
      <c r="EM181" s="1"/>
      <c r="EN181" s="1"/>
      <c r="EO181" s="1"/>
      <c r="EP181" s="1"/>
      <c r="EQ181" s="1"/>
      <c r="ER181" s="1"/>
    </row>
    <row r="182" spans="2:148" ht="18" customHeight="1" x14ac:dyDescent="0.25">
      <c r="B182" s="7"/>
      <c r="AP182" s="9"/>
      <c r="AR182" s="7"/>
      <c r="CF182" s="9"/>
      <c r="DY182" s="1"/>
      <c r="DZ182" s="1"/>
      <c r="EA182" s="1"/>
      <c r="ED182" s="1"/>
      <c r="EE182" s="1"/>
      <c r="EF182" s="1"/>
      <c r="EG182" s="1"/>
      <c r="EH182" s="1"/>
      <c r="EI182" s="1"/>
      <c r="EJ182" s="1"/>
      <c r="EK182" s="1"/>
      <c r="EL182" s="1"/>
      <c r="EM182" s="1"/>
      <c r="EN182" s="1"/>
      <c r="EO182" s="1"/>
      <c r="EP182" s="1"/>
      <c r="EQ182" s="1"/>
      <c r="ER182" s="1"/>
    </row>
    <row r="183" spans="2:148" ht="18" customHeight="1" x14ac:dyDescent="0.25">
      <c r="B183" s="7"/>
      <c r="AP183" s="9"/>
      <c r="AR183" s="7"/>
      <c r="CF183" s="9"/>
      <c r="DY183" s="1"/>
      <c r="DZ183" s="1"/>
      <c r="EA183" s="1"/>
      <c r="ED183" s="1"/>
      <c r="EE183" s="1"/>
      <c r="EF183" s="1"/>
      <c r="EG183" s="1"/>
      <c r="EH183" s="1"/>
      <c r="EI183" s="1"/>
      <c r="EJ183" s="1"/>
      <c r="EK183" s="1"/>
      <c r="EL183" s="1"/>
      <c r="EM183" s="1"/>
      <c r="EN183" s="1"/>
      <c r="EO183" s="1"/>
      <c r="EP183" s="1"/>
      <c r="EQ183" s="1"/>
      <c r="ER183" s="1"/>
    </row>
    <row r="184" spans="2:148" ht="18" customHeight="1" x14ac:dyDescent="0.25">
      <c r="B184" s="7"/>
      <c r="AP184" s="9"/>
      <c r="AR184" s="7"/>
      <c r="CF184" s="9"/>
      <c r="DY184" s="1"/>
      <c r="DZ184" s="1"/>
      <c r="EA184" s="1"/>
      <c r="ED184" s="1"/>
      <c r="EE184" s="1"/>
      <c r="EF184" s="1"/>
      <c r="EG184" s="1"/>
      <c r="EH184" s="1"/>
      <c r="EI184" s="1"/>
      <c r="EJ184" s="1"/>
      <c r="EK184" s="1"/>
      <c r="EL184" s="1"/>
      <c r="EM184" s="1"/>
      <c r="EN184" s="1"/>
      <c r="EO184" s="1"/>
      <c r="EP184" s="1"/>
      <c r="EQ184" s="1"/>
      <c r="ER184" s="1"/>
    </row>
    <row r="185" spans="2:148" ht="18" customHeight="1" x14ac:dyDescent="0.25">
      <c r="B185" s="7"/>
      <c r="AP185" s="9"/>
      <c r="AR185" s="7"/>
      <c r="CF185" s="9"/>
      <c r="DY185" s="1"/>
      <c r="DZ185" s="1"/>
      <c r="EA185" s="1"/>
      <c r="ED185" s="1"/>
      <c r="EE185" s="1"/>
      <c r="EF185" s="1"/>
      <c r="EG185" s="1"/>
      <c r="EH185" s="1"/>
      <c r="EI185" s="1"/>
      <c r="EJ185" s="1"/>
      <c r="EK185" s="1"/>
      <c r="EL185" s="1"/>
      <c r="EM185" s="1"/>
      <c r="EN185" s="1"/>
      <c r="EO185" s="1"/>
      <c r="EP185" s="1"/>
      <c r="EQ185" s="1"/>
      <c r="ER185" s="1"/>
    </row>
    <row r="186" spans="2:148" ht="18" customHeight="1" x14ac:dyDescent="0.25">
      <c r="B186" s="7"/>
      <c r="AP186" s="9"/>
      <c r="AR186" s="7"/>
      <c r="CF186" s="9"/>
      <c r="DY186" s="1"/>
      <c r="DZ186" s="1"/>
      <c r="EA186" s="1"/>
      <c r="ED186" s="1"/>
      <c r="EE186" s="1"/>
      <c r="EF186" s="1"/>
      <c r="EG186" s="1"/>
      <c r="EH186" s="1"/>
      <c r="EI186" s="1"/>
      <c r="EJ186" s="1"/>
      <c r="EK186" s="1"/>
      <c r="EL186" s="1"/>
      <c r="EM186" s="1"/>
      <c r="EN186" s="1"/>
      <c r="EO186" s="1"/>
      <c r="EP186" s="1"/>
      <c r="EQ186" s="1"/>
      <c r="ER186" s="1"/>
    </row>
    <row r="187" spans="2:148" ht="18" customHeight="1" x14ac:dyDescent="0.25">
      <c r="B187" s="7"/>
      <c r="AP187" s="9"/>
      <c r="AR187" s="7"/>
      <c r="CF187" s="9"/>
      <c r="DY187" s="1"/>
      <c r="DZ187" s="1"/>
      <c r="EA187" s="1"/>
      <c r="ED187" s="1"/>
      <c r="EE187" s="1"/>
      <c r="EF187" s="1"/>
      <c r="EG187" s="1"/>
      <c r="EH187" s="1"/>
      <c r="EI187" s="1"/>
      <c r="EJ187" s="1"/>
      <c r="EK187" s="1"/>
      <c r="EL187" s="1"/>
      <c r="EM187" s="1"/>
      <c r="EN187" s="1"/>
      <c r="EO187" s="1"/>
      <c r="EP187" s="1"/>
      <c r="EQ187" s="1"/>
      <c r="ER187" s="1"/>
    </row>
    <row r="188" spans="2:148" ht="18" customHeight="1" x14ac:dyDescent="0.25">
      <c r="B188" s="7"/>
      <c r="AP188" s="9"/>
      <c r="AR188" s="7"/>
      <c r="CF188" s="9"/>
      <c r="DY188" s="1"/>
      <c r="DZ188" s="1"/>
      <c r="EA188" s="1"/>
      <c r="ED188" s="1"/>
      <c r="EE188" s="1"/>
      <c r="EF188" s="1"/>
      <c r="EG188" s="1"/>
      <c r="EH188" s="1"/>
      <c r="EI188" s="1"/>
      <c r="EJ188" s="1"/>
      <c r="EK188" s="1"/>
      <c r="EL188" s="1"/>
      <c r="EM188" s="1"/>
      <c r="EN188" s="1"/>
      <c r="EO188" s="1"/>
      <c r="EP188" s="1"/>
      <c r="EQ188" s="1"/>
      <c r="ER188" s="1"/>
    </row>
    <row r="189" spans="2:148" ht="18" customHeight="1" x14ac:dyDescent="0.25">
      <c r="B189" s="7"/>
      <c r="AP189" s="9"/>
      <c r="AR189" s="7"/>
      <c r="CF189" s="9"/>
      <c r="DY189" s="1"/>
      <c r="DZ189" s="1"/>
      <c r="EA189" s="1"/>
      <c r="ED189" s="1"/>
      <c r="EE189" s="1"/>
      <c r="EF189" s="1"/>
      <c r="EG189" s="1"/>
      <c r="EH189" s="1"/>
      <c r="EI189" s="1"/>
      <c r="EJ189" s="1"/>
      <c r="EK189" s="1"/>
      <c r="EL189" s="1"/>
      <c r="EM189" s="1"/>
      <c r="EN189" s="1"/>
      <c r="EO189" s="1"/>
      <c r="EP189" s="1"/>
      <c r="EQ189" s="1"/>
      <c r="ER189" s="1"/>
    </row>
    <row r="190" spans="2:148" ht="18" customHeight="1" x14ac:dyDescent="0.25">
      <c r="B190" s="7"/>
      <c r="AP190" s="9"/>
      <c r="AR190" s="7"/>
      <c r="CF190" s="9"/>
      <c r="DY190" s="1"/>
      <c r="DZ190" s="1"/>
      <c r="EA190" s="1"/>
      <c r="ED190" s="1"/>
      <c r="EE190" s="1"/>
      <c r="EF190" s="1"/>
      <c r="EG190" s="1"/>
      <c r="EH190" s="1"/>
      <c r="EI190" s="1"/>
      <c r="EJ190" s="1"/>
      <c r="EK190" s="1"/>
      <c r="EL190" s="1"/>
      <c r="EM190" s="1"/>
      <c r="EN190" s="1"/>
      <c r="EO190" s="1"/>
      <c r="EP190" s="1"/>
      <c r="EQ190" s="1"/>
      <c r="ER190" s="1"/>
    </row>
    <row r="191" spans="2:148" ht="18" customHeight="1" x14ac:dyDescent="0.25">
      <c r="B191" s="7"/>
      <c r="AP191" s="9"/>
      <c r="AR191" s="7"/>
      <c r="CF191" s="9"/>
      <c r="DY191" s="1"/>
      <c r="DZ191" s="1"/>
      <c r="EA191" s="1"/>
      <c r="ED191" s="1"/>
      <c r="EE191" s="1"/>
      <c r="EF191" s="1"/>
      <c r="EG191" s="1"/>
      <c r="EH191" s="1"/>
      <c r="EI191" s="1"/>
      <c r="EJ191" s="1"/>
      <c r="EK191" s="1"/>
      <c r="EL191" s="1"/>
      <c r="EM191" s="1"/>
      <c r="EN191" s="1"/>
      <c r="EO191" s="1"/>
      <c r="EP191" s="1"/>
      <c r="EQ191" s="1"/>
      <c r="ER191" s="1"/>
    </row>
    <row r="192" spans="2:148" ht="18" customHeight="1" x14ac:dyDescent="0.25">
      <c r="B192" s="7"/>
      <c r="AP192" s="9"/>
      <c r="AR192" s="7"/>
      <c r="CF192" s="9"/>
      <c r="DY192" s="1"/>
      <c r="DZ192" s="1"/>
      <c r="EA192" s="1"/>
      <c r="ED192" s="1"/>
      <c r="EE192" s="1"/>
      <c r="EF192" s="1"/>
      <c r="EG192" s="1"/>
      <c r="EH192" s="1"/>
      <c r="EI192" s="1"/>
      <c r="EJ192" s="1"/>
      <c r="EK192" s="1"/>
      <c r="EL192" s="1"/>
      <c r="EM192" s="1"/>
      <c r="EN192" s="1"/>
      <c r="EO192" s="1"/>
      <c r="EP192" s="1"/>
      <c r="EQ192" s="1"/>
      <c r="ER192" s="1"/>
    </row>
    <row r="193" spans="2:148" ht="18" customHeight="1" x14ac:dyDescent="0.25">
      <c r="B193" s="7"/>
      <c r="AP193" s="9"/>
      <c r="AR193" s="7"/>
      <c r="CF193" s="9"/>
      <c r="DY193" s="1"/>
      <c r="DZ193" s="1"/>
      <c r="EA193" s="1"/>
      <c r="ED193" s="1"/>
      <c r="EE193" s="1"/>
      <c r="EF193" s="1"/>
      <c r="EG193" s="1"/>
      <c r="EH193" s="1"/>
      <c r="EI193" s="1"/>
      <c r="EJ193" s="1"/>
      <c r="EK193" s="1"/>
      <c r="EL193" s="1"/>
      <c r="EM193" s="1"/>
      <c r="EN193" s="1"/>
      <c r="EO193" s="1"/>
      <c r="EP193" s="1"/>
      <c r="EQ193" s="1"/>
      <c r="ER193" s="1"/>
    </row>
    <row r="194" spans="2:148" ht="18" customHeight="1" thickBot="1" x14ac:dyDescent="0.3">
      <c r="B194" s="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2"/>
      <c r="AO194" s="11"/>
      <c r="AP194" s="9"/>
      <c r="AR194" s="7"/>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2"/>
      <c r="CE194" s="11"/>
      <c r="CF194" s="9"/>
      <c r="DY194" s="1"/>
      <c r="DZ194" s="1"/>
      <c r="EA194" s="1"/>
      <c r="ED194" s="1"/>
      <c r="EE194" s="1"/>
      <c r="EF194" s="1"/>
      <c r="EG194" s="1"/>
      <c r="EH194" s="1"/>
      <c r="EI194" s="1"/>
      <c r="EJ194" s="1"/>
      <c r="EK194" s="1"/>
      <c r="EL194" s="1"/>
      <c r="EM194" s="1"/>
      <c r="EN194" s="1"/>
      <c r="EO194" s="1"/>
      <c r="EP194" s="1"/>
      <c r="EQ194" s="1"/>
      <c r="ER194" s="1"/>
    </row>
    <row r="195" spans="2:148" ht="18" customHeight="1" x14ac:dyDescent="0.25">
      <c r="B195" s="7"/>
      <c r="D195" s="26" t="s">
        <v>4</v>
      </c>
      <c r="AO195" s="15" t="s">
        <v>10</v>
      </c>
      <c r="AP195" s="9"/>
      <c r="AR195" s="7"/>
      <c r="AT195" s="26" t="s">
        <v>4</v>
      </c>
      <c r="CE195" s="15" t="s">
        <v>11</v>
      </c>
      <c r="CF195" s="9"/>
      <c r="DY195" s="1"/>
      <c r="DZ195" s="1"/>
      <c r="EA195" s="1"/>
      <c r="ED195" s="1"/>
      <c r="EE195" s="1"/>
      <c r="EF195" s="1"/>
      <c r="EG195" s="1"/>
      <c r="EH195" s="1"/>
      <c r="EI195" s="1"/>
      <c r="EJ195" s="1"/>
      <c r="EK195" s="1"/>
      <c r="EL195" s="1"/>
      <c r="EM195" s="1"/>
      <c r="EN195" s="1"/>
      <c r="EO195" s="1"/>
      <c r="EP195" s="1"/>
      <c r="EQ195" s="1"/>
      <c r="ER195" s="1"/>
    </row>
    <row r="196" spans="2:148" ht="18" customHeight="1" x14ac:dyDescent="0.25">
      <c r="B196" s="27"/>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9"/>
      <c r="AR196" s="27"/>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9"/>
      <c r="DY196" s="1"/>
      <c r="DZ196" s="1"/>
      <c r="EA196" s="1"/>
      <c r="ED196" s="1"/>
      <c r="EE196" s="1"/>
      <c r="EF196" s="1"/>
      <c r="EG196" s="1"/>
      <c r="EH196" s="1"/>
      <c r="EI196" s="1"/>
      <c r="EJ196" s="1"/>
      <c r="EK196" s="1"/>
      <c r="EL196" s="1"/>
      <c r="EM196" s="1"/>
      <c r="EN196" s="1"/>
      <c r="EO196" s="1"/>
      <c r="EP196" s="1"/>
      <c r="EQ196" s="1"/>
      <c r="ER196" s="1"/>
    </row>
    <row r="197" spans="2:148" ht="18" customHeight="1" x14ac:dyDescent="0.25">
      <c r="DY197" s="1"/>
      <c r="DZ197" s="1"/>
      <c r="EA197" s="1"/>
      <c r="ED197" s="1"/>
      <c r="EE197" s="1"/>
      <c r="EF197" s="1"/>
      <c r="EG197" s="1"/>
      <c r="EH197" s="1"/>
      <c r="EI197" s="1"/>
      <c r="EJ197" s="1"/>
      <c r="EK197" s="1"/>
      <c r="EL197" s="1"/>
      <c r="EM197" s="1"/>
      <c r="EN197" s="1"/>
      <c r="EO197" s="1"/>
      <c r="EP197" s="1"/>
      <c r="EQ197" s="1"/>
      <c r="ER197" s="1"/>
    </row>
    <row r="198" spans="2:148" ht="18" customHeight="1" x14ac:dyDescent="0.25">
      <c r="DY198" s="1"/>
      <c r="DZ198" s="1"/>
      <c r="EA198" s="1"/>
      <c r="ED198" s="1"/>
      <c r="EE198" s="1"/>
      <c r="EF198" s="1"/>
      <c r="EG198" s="1"/>
      <c r="EH198" s="1"/>
      <c r="EI198" s="1"/>
      <c r="EJ198" s="1"/>
      <c r="EK198" s="1"/>
      <c r="EL198" s="1"/>
      <c r="EM198" s="1"/>
      <c r="EN198" s="1"/>
      <c r="EO198" s="1"/>
      <c r="EP198" s="1"/>
      <c r="EQ198" s="1"/>
      <c r="ER198" s="1"/>
    </row>
    <row r="199" spans="2:148" x14ac:dyDescent="0.25">
      <c r="DY199" s="1"/>
      <c r="DZ199" s="1"/>
      <c r="EA199" s="1"/>
      <c r="ED199" s="1"/>
      <c r="EE199" s="1"/>
      <c r="EF199" s="1"/>
      <c r="EG199" s="1"/>
      <c r="EH199" s="1"/>
      <c r="EI199" s="1"/>
      <c r="EJ199" s="1"/>
      <c r="EK199" s="1"/>
      <c r="EL199" s="1"/>
      <c r="EM199" s="1"/>
      <c r="EN199" s="1"/>
      <c r="EO199" s="1"/>
      <c r="EP199" s="1"/>
      <c r="EQ199" s="1"/>
      <c r="ER199" s="1"/>
    </row>
    <row r="200" spans="2:148" x14ac:dyDescent="0.25">
      <c r="DY200" s="1"/>
      <c r="DZ200" s="1"/>
      <c r="EA200" s="1"/>
      <c r="ED200" s="1"/>
      <c r="EE200" s="1"/>
      <c r="EF200" s="1"/>
      <c r="EG200" s="1"/>
      <c r="EH200" s="1"/>
      <c r="EI200" s="1"/>
      <c r="EJ200" s="1"/>
      <c r="EK200" s="1"/>
      <c r="EL200" s="1"/>
      <c r="EM200" s="1"/>
      <c r="EN200" s="1"/>
      <c r="EO200" s="1"/>
      <c r="EP200" s="1"/>
      <c r="EQ200" s="1"/>
      <c r="ER200" s="1"/>
    </row>
    <row r="201" spans="2:148" x14ac:dyDescent="0.25">
      <c r="DY201" s="1"/>
      <c r="DZ201" s="1"/>
      <c r="EA201" s="1"/>
      <c r="ED201" s="1"/>
      <c r="EE201" s="1"/>
      <c r="EF201" s="1"/>
      <c r="EG201" s="1"/>
      <c r="EH201" s="1"/>
      <c r="EI201" s="1"/>
      <c r="EJ201" s="1"/>
      <c r="EK201" s="1"/>
      <c r="EL201" s="1"/>
      <c r="EM201" s="1"/>
      <c r="EN201" s="1"/>
      <c r="EO201" s="1"/>
      <c r="EP201" s="1"/>
      <c r="EQ201" s="1"/>
      <c r="ER201" s="1"/>
    </row>
    <row r="202" spans="2:148" x14ac:dyDescent="0.25">
      <c r="DY202" s="1"/>
      <c r="DZ202" s="1"/>
      <c r="EA202" s="1"/>
      <c r="ED202" s="1"/>
      <c r="EE202" s="1"/>
      <c r="EF202" s="1"/>
      <c r="EG202" s="1"/>
      <c r="EH202" s="1"/>
      <c r="EI202" s="1"/>
      <c r="EJ202" s="1"/>
      <c r="EK202" s="1"/>
      <c r="EL202" s="1"/>
      <c r="EM202" s="1"/>
      <c r="EN202" s="1"/>
      <c r="EO202" s="1"/>
      <c r="EP202" s="1"/>
      <c r="EQ202" s="1"/>
      <c r="ER202" s="1"/>
    </row>
    <row r="203" spans="2:148" x14ac:dyDescent="0.25">
      <c r="DY203" s="1"/>
      <c r="DZ203" s="1"/>
      <c r="EA203" s="1"/>
      <c r="ED203" s="1"/>
      <c r="EE203" s="1"/>
      <c r="EF203" s="1"/>
      <c r="EG203" s="1"/>
      <c r="EH203" s="1"/>
      <c r="EI203" s="1"/>
      <c r="EJ203" s="1"/>
      <c r="EK203" s="1"/>
      <c r="EL203" s="1"/>
      <c r="EM203" s="1"/>
      <c r="EN203" s="1"/>
      <c r="EO203" s="1"/>
      <c r="EP203" s="1"/>
      <c r="EQ203" s="1"/>
      <c r="ER203" s="1"/>
    </row>
    <row r="204" spans="2:148" x14ac:dyDescent="0.25">
      <c r="DY204" s="1"/>
      <c r="DZ204" s="1"/>
      <c r="EA204" s="1"/>
      <c r="ED204" s="1"/>
      <c r="EE204" s="1"/>
      <c r="EF204" s="1"/>
      <c r="EG204" s="1"/>
      <c r="EH204" s="1"/>
      <c r="EI204" s="1"/>
      <c r="EJ204" s="1"/>
      <c r="EK204" s="1"/>
      <c r="EL204" s="1"/>
      <c r="EM204" s="1"/>
      <c r="EN204" s="1"/>
      <c r="EO204" s="1"/>
      <c r="EP204" s="1"/>
      <c r="EQ204" s="1"/>
      <c r="ER204" s="1"/>
    </row>
    <row r="205" spans="2:148" x14ac:dyDescent="0.25">
      <c r="DY205" s="1"/>
      <c r="DZ205" s="1"/>
      <c r="EA205" s="1"/>
      <c r="ED205" s="1"/>
      <c r="EE205" s="1"/>
      <c r="EF205" s="1"/>
      <c r="EG205" s="1"/>
      <c r="EH205" s="1"/>
      <c r="EI205" s="1"/>
      <c r="EJ205" s="1"/>
      <c r="EK205" s="1"/>
      <c r="EL205" s="1"/>
      <c r="EM205" s="1"/>
      <c r="EN205" s="1"/>
      <c r="EO205" s="1"/>
      <c r="EP205" s="1"/>
      <c r="EQ205" s="1"/>
      <c r="ER205" s="1"/>
    </row>
    <row r="206" spans="2:148" x14ac:dyDescent="0.25">
      <c r="DY206" s="1"/>
      <c r="DZ206" s="1"/>
      <c r="EA206" s="1"/>
      <c r="ED206" s="1"/>
      <c r="EE206" s="1"/>
      <c r="EF206" s="1"/>
      <c r="EG206" s="1"/>
      <c r="EH206" s="1"/>
      <c r="EI206" s="1"/>
      <c r="EJ206" s="1"/>
      <c r="EK206" s="1"/>
      <c r="EL206" s="1"/>
      <c r="EM206" s="1"/>
      <c r="EN206" s="1"/>
      <c r="EO206" s="1"/>
      <c r="EP206" s="1"/>
      <c r="EQ206" s="1"/>
      <c r="ER206" s="1"/>
    </row>
    <row r="207" spans="2:148" x14ac:dyDescent="0.25">
      <c r="DY207" s="1"/>
      <c r="DZ207" s="1"/>
      <c r="EA207" s="1"/>
      <c r="ED207" s="1"/>
      <c r="EE207" s="1"/>
      <c r="EF207" s="1"/>
      <c r="EG207" s="1"/>
      <c r="EH207" s="1"/>
      <c r="EI207" s="1"/>
      <c r="EJ207" s="1"/>
      <c r="EK207" s="1"/>
      <c r="EL207" s="1"/>
      <c r="EM207" s="1"/>
      <c r="EN207" s="1"/>
      <c r="EO207" s="1"/>
      <c r="EP207" s="1"/>
      <c r="EQ207" s="1"/>
      <c r="ER207" s="1"/>
    </row>
    <row r="208" spans="2:148" x14ac:dyDescent="0.25">
      <c r="DY208" s="1"/>
      <c r="DZ208" s="1"/>
      <c r="EA208" s="1"/>
      <c r="ED208" s="1"/>
      <c r="EE208" s="1"/>
      <c r="EF208" s="1"/>
      <c r="EG208" s="1"/>
      <c r="EH208" s="1"/>
      <c r="EI208" s="1"/>
      <c r="EJ208" s="1"/>
      <c r="EK208" s="1"/>
      <c r="EL208" s="1"/>
      <c r="EM208" s="1"/>
      <c r="EN208" s="1"/>
      <c r="EO208" s="1"/>
      <c r="EP208" s="1"/>
      <c r="EQ208" s="1"/>
      <c r="ER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TS/eFdA1hZBtRoYint6UQrg/kV7CJJY5hfHqvN5IEOEhxfOJzkRqz70tQDH0Ifm4rHbGYoTOA2kKA68K8r4MkQ==" saltValue="GJJseSs3UB8MVuhPs2U4ow==" spinCount="100000" sheet="1" objects="1" scenarios="1"/>
  <mergeCells count="509">
    <mergeCell ref="AS75:CE75"/>
    <mergeCell ref="AS76:CE80"/>
    <mergeCell ref="D84:AO87"/>
    <mergeCell ref="C84:C87"/>
    <mergeCell ref="D88:AO95"/>
    <mergeCell ref="AT56:CE63"/>
    <mergeCell ref="AS64:AS73"/>
    <mergeCell ref="D71:AO75"/>
    <mergeCell ref="AG66:AJ66"/>
    <mergeCell ref="AG67:AJ67"/>
    <mergeCell ref="AG68:AJ68"/>
    <mergeCell ref="AA64:AD64"/>
    <mergeCell ref="AA65:AD65"/>
    <mergeCell ref="AA66:AD66"/>
    <mergeCell ref="AA67:AD67"/>
    <mergeCell ref="C88:C90"/>
    <mergeCell ref="F67:I67"/>
    <mergeCell ref="F68:I68"/>
    <mergeCell ref="P68:S68"/>
    <mergeCell ref="U61:Y61"/>
    <mergeCell ref="U62:Y62"/>
    <mergeCell ref="U63:Y63"/>
    <mergeCell ref="U64:Y64"/>
    <mergeCell ref="U65:Y65"/>
    <mergeCell ref="CO37:CS37"/>
    <mergeCell ref="CO38:CS38"/>
    <mergeCell ref="CO39:CS39"/>
    <mergeCell ref="CO40:CS40"/>
    <mergeCell ref="CO41:CS41"/>
    <mergeCell ref="CO42:CS42"/>
    <mergeCell ref="AA61:AD61"/>
    <mergeCell ref="AA62:AD62"/>
    <mergeCell ref="AB38:AG38"/>
    <mergeCell ref="AB39:AG39"/>
    <mergeCell ref="AB40:AG40"/>
    <mergeCell ref="AB41:AG41"/>
    <mergeCell ref="AB42:AG42"/>
    <mergeCell ref="AB43:AG43"/>
    <mergeCell ref="AB44:AG44"/>
    <mergeCell ref="AH41:AK41"/>
    <mergeCell ref="AH42:AK42"/>
    <mergeCell ref="AB37:AG37"/>
    <mergeCell ref="AL41:AO41"/>
    <mergeCell ref="AL40:AO40"/>
    <mergeCell ref="AL42:AO42"/>
    <mergeCell ref="AL58:AO60"/>
    <mergeCell ref="AH40:AK40"/>
    <mergeCell ref="AH39:AK39"/>
    <mergeCell ref="CM13:CP13"/>
    <mergeCell ref="CM14:CP14"/>
    <mergeCell ref="CM15:CP15"/>
    <mergeCell ref="CM16:CP16"/>
    <mergeCell ref="CM17:CP17"/>
    <mergeCell ref="CM18:CP18"/>
    <mergeCell ref="CM19:CP19"/>
    <mergeCell ref="CM20:CP20"/>
    <mergeCell ref="CR6:CT12"/>
    <mergeCell ref="CR13:CT13"/>
    <mergeCell ref="CR14:CT14"/>
    <mergeCell ref="CR15:CT15"/>
    <mergeCell ref="CR16:CT16"/>
    <mergeCell ref="CR17:CT17"/>
    <mergeCell ref="CR18:CT18"/>
    <mergeCell ref="CR19:CT19"/>
    <mergeCell ref="CR20:CT20"/>
    <mergeCell ref="CH13:CK13"/>
    <mergeCell ref="CH9:CK12"/>
    <mergeCell ref="CH14:CK14"/>
    <mergeCell ref="CH15:CK15"/>
    <mergeCell ref="CH16:CK16"/>
    <mergeCell ref="CH17:CK17"/>
    <mergeCell ref="CH18:CK18"/>
    <mergeCell ref="CH19:CK19"/>
    <mergeCell ref="CH20:CK20"/>
    <mergeCell ref="CI33:CL36"/>
    <mergeCell ref="CI37:CL37"/>
    <mergeCell ref="CI38:CL38"/>
    <mergeCell ref="CI39:CL39"/>
    <mergeCell ref="CI40:CL40"/>
    <mergeCell ref="CI41:CL41"/>
    <mergeCell ref="CI42:CL42"/>
    <mergeCell ref="CI43:CL43"/>
    <mergeCell ref="CI44:CL44"/>
    <mergeCell ref="FQ37:FU37"/>
    <mergeCell ref="AS56:AS61"/>
    <mergeCell ref="AT64:CE73"/>
    <mergeCell ref="AL61:AO61"/>
    <mergeCell ref="AL62:AO62"/>
    <mergeCell ref="AL63:AO63"/>
    <mergeCell ref="AL64:AO64"/>
    <mergeCell ref="AL65:AO65"/>
    <mergeCell ref="K68:N68"/>
    <mergeCell ref="AG58:AJ60"/>
    <mergeCell ref="AG61:AJ61"/>
    <mergeCell ref="AG62:AJ62"/>
    <mergeCell ref="AG63:AJ63"/>
    <mergeCell ref="AG64:AJ64"/>
    <mergeCell ref="AG65:AJ65"/>
    <mergeCell ref="K67:N67"/>
    <mergeCell ref="AA68:AD68"/>
    <mergeCell ref="P61:S61"/>
    <mergeCell ref="P62:S62"/>
    <mergeCell ref="P63:S63"/>
    <mergeCell ref="P64:S64"/>
    <mergeCell ref="P65:S65"/>
    <mergeCell ref="P66:S66"/>
    <mergeCell ref="P67:S67"/>
    <mergeCell ref="AL66:AO66"/>
    <mergeCell ref="AL67:AO67"/>
    <mergeCell ref="AL68:AO68"/>
    <mergeCell ref="AA63:AD63"/>
    <mergeCell ref="C81:C82"/>
    <mergeCell ref="U68:Y68"/>
    <mergeCell ref="C67:D67"/>
    <mergeCell ref="C68:D68"/>
    <mergeCell ref="C71:C75"/>
    <mergeCell ref="D76:AO80"/>
    <mergeCell ref="C76:C80"/>
    <mergeCell ref="D81:AO83"/>
    <mergeCell ref="U66:Y66"/>
    <mergeCell ref="U67:Y67"/>
    <mergeCell ref="C62:D62"/>
    <mergeCell ref="C63:D63"/>
    <mergeCell ref="K62:N62"/>
    <mergeCell ref="K63:N63"/>
    <mergeCell ref="K64:N64"/>
    <mergeCell ref="K65:N65"/>
    <mergeCell ref="K66:N66"/>
    <mergeCell ref="C64:D64"/>
    <mergeCell ref="C65:D65"/>
    <mergeCell ref="C66:D66"/>
    <mergeCell ref="F62:I62"/>
    <mergeCell ref="F63:I63"/>
    <mergeCell ref="F64:I64"/>
    <mergeCell ref="F65:I65"/>
    <mergeCell ref="F66:I66"/>
    <mergeCell ref="K34:O36"/>
    <mergeCell ref="K37:O37"/>
    <mergeCell ref="K38:O38"/>
    <mergeCell ref="K39:O39"/>
    <mergeCell ref="K40:O40"/>
    <mergeCell ref="K41:O41"/>
    <mergeCell ref="K42:O42"/>
    <mergeCell ref="C35:D36"/>
    <mergeCell ref="E35:G36"/>
    <mergeCell ref="E37:G37"/>
    <mergeCell ref="E38:G38"/>
    <mergeCell ref="E40:G40"/>
    <mergeCell ref="C37:D37"/>
    <mergeCell ref="C59:D60"/>
    <mergeCell ref="C61:D61"/>
    <mergeCell ref="F58:I60"/>
    <mergeCell ref="P58:S60"/>
    <mergeCell ref="U58:Y60"/>
    <mergeCell ref="K43:O43"/>
    <mergeCell ref="K44:O44"/>
    <mergeCell ref="H41:J41"/>
    <mergeCell ref="H42:J42"/>
    <mergeCell ref="T41:V41"/>
    <mergeCell ref="T42:V42"/>
    <mergeCell ref="E41:G41"/>
    <mergeCell ref="E42:G42"/>
    <mergeCell ref="T44:V44"/>
    <mergeCell ref="C43:D43"/>
    <mergeCell ref="C44:D44"/>
    <mergeCell ref="W41:AA41"/>
    <mergeCell ref="W42:AA42"/>
    <mergeCell ref="W43:AA43"/>
    <mergeCell ref="W44:AA44"/>
    <mergeCell ref="K61:N61"/>
    <mergeCell ref="F61:I61"/>
    <mergeCell ref="T33:V36"/>
    <mergeCell ref="T37:V37"/>
    <mergeCell ref="T38:V38"/>
    <mergeCell ref="T39:V39"/>
    <mergeCell ref="T40:V40"/>
    <mergeCell ref="W33:AA36"/>
    <mergeCell ref="W37:AA37"/>
    <mergeCell ref="W38:AA38"/>
    <mergeCell ref="W39:AA39"/>
    <mergeCell ref="W40:AA40"/>
    <mergeCell ref="FD26:FH26"/>
    <mergeCell ref="FI26:FM26"/>
    <mergeCell ref="FD27:FH27"/>
    <mergeCell ref="S25:W25"/>
    <mergeCell ref="FI27:FM27"/>
    <mergeCell ref="FD28:FH28"/>
    <mergeCell ref="FI28:FM28"/>
    <mergeCell ref="FD18:FH20"/>
    <mergeCell ref="FI18:FM20"/>
    <mergeCell ref="FD21:FH21"/>
    <mergeCell ref="FI21:FM21"/>
    <mergeCell ref="FD22:FH22"/>
    <mergeCell ref="FI22:FM22"/>
    <mergeCell ref="FD23:FH23"/>
    <mergeCell ref="FI23:FM23"/>
    <mergeCell ref="FD24:FH24"/>
    <mergeCell ref="FI24:FM24"/>
    <mergeCell ref="ER26:EW26"/>
    <mergeCell ref="ER27:EW27"/>
    <mergeCell ref="ER28:EW28"/>
    <mergeCell ref="EX18:FC20"/>
    <mergeCell ref="EX21:FC21"/>
    <mergeCell ref="EX22:FC22"/>
    <mergeCell ref="EX26:FC26"/>
    <mergeCell ref="EX27:FC27"/>
    <mergeCell ref="EX28:FC28"/>
    <mergeCell ref="EI27:EK27"/>
    <mergeCell ref="EI28:EK28"/>
    <mergeCell ref="EL21:EQ21"/>
    <mergeCell ref="EL22:EQ22"/>
    <mergeCell ref="EL23:EQ23"/>
    <mergeCell ref="EL24:EQ24"/>
    <mergeCell ref="EL25:EQ25"/>
    <mergeCell ref="EL26:EQ26"/>
    <mergeCell ref="EL27:EQ27"/>
    <mergeCell ref="EL28:EQ28"/>
    <mergeCell ref="EI26:EK26"/>
    <mergeCell ref="EI23:EK23"/>
    <mergeCell ref="EI24:EK24"/>
    <mergeCell ref="EI25:EK25"/>
    <mergeCell ref="EI17:FM17"/>
    <mergeCell ref="FD25:FH25"/>
    <mergeCell ref="CL25:CP25"/>
    <mergeCell ref="ER18:EW20"/>
    <mergeCell ref="ER21:EW21"/>
    <mergeCell ref="ER22:EW22"/>
    <mergeCell ref="ER23:EW23"/>
    <mergeCell ref="ER24:EW24"/>
    <mergeCell ref="ER25:EW25"/>
    <mergeCell ref="EX23:FC23"/>
    <mergeCell ref="EX24:FC24"/>
    <mergeCell ref="EX25:FC25"/>
    <mergeCell ref="FI25:FM25"/>
    <mergeCell ref="BQ14:BT14"/>
    <mergeCell ref="BV14:BY14"/>
    <mergeCell ref="BG16:BJ16"/>
    <mergeCell ref="CA18:CD18"/>
    <mergeCell ref="CA14:CD14"/>
    <mergeCell ref="BG18:BJ18"/>
    <mergeCell ref="EL18:EQ20"/>
    <mergeCell ref="EI21:EK21"/>
    <mergeCell ref="EI22:EK22"/>
    <mergeCell ref="CA15:CD15"/>
    <mergeCell ref="BV20:BY20"/>
    <mergeCell ref="CA20:CD20"/>
    <mergeCell ref="BL20:BO20"/>
    <mergeCell ref="BQ16:BT16"/>
    <mergeCell ref="BV16:BY16"/>
    <mergeCell ref="BQ18:BT18"/>
    <mergeCell ref="BV18:BY18"/>
    <mergeCell ref="BG20:BJ20"/>
    <mergeCell ref="BQ20:BT20"/>
    <mergeCell ref="BG15:BJ15"/>
    <mergeCell ref="BQ15:BT15"/>
    <mergeCell ref="BV15:BY15"/>
    <mergeCell ref="BL19:BO19"/>
    <mergeCell ref="BB17:BE17"/>
    <mergeCell ref="AW18:AZ18"/>
    <mergeCell ref="BB18:BE18"/>
    <mergeCell ref="AW19:AZ19"/>
    <mergeCell ref="BB19:BE19"/>
    <mergeCell ref="AW20:AZ20"/>
    <mergeCell ref="BQ13:BT13"/>
    <mergeCell ref="BV13:BY13"/>
    <mergeCell ref="CA13:CD13"/>
    <mergeCell ref="BG19:BJ19"/>
    <mergeCell ref="BQ19:BT19"/>
    <mergeCell ref="BV19:BY19"/>
    <mergeCell ref="CA19:CD19"/>
    <mergeCell ref="CA16:CD16"/>
    <mergeCell ref="BG17:BJ17"/>
    <mergeCell ref="BQ17:BT17"/>
    <mergeCell ref="BV17:BY17"/>
    <mergeCell ref="CA17:CD17"/>
    <mergeCell ref="BL14:BO14"/>
    <mergeCell ref="BL15:BO15"/>
    <mergeCell ref="BL16:BO16"/>
    <mergeCell ref="BL17:BO17"/>
    <mergeCell ref="BL18:BO18"/>
    <mergeCell ref="BG14:BJ14"/>
    <mergeCell ref="BG13:BJ13"/>
    <mergeCell ref="BL13:BO13"/>
    <mergeCell ref="AW23:AZ26"/>
    <mergeCell ref="BB23:BE26"/>
    <mergeCell ref="AS28:AU28"/>
    <mergeCell ref="AW28:AZ28"/>
    <mergeCell ref="BB28:BE28"/>
    <mergeCell ref="S26:W26"/>
    <mergeCell ref="S27:W27"/>
    <mergeCell ref="S28:W28"/>
    <mergeCell ref="AS17:AU17"/>
    <mergeCell ref="AS18:AU18"/>
    <mergeCell ref="AS19:AU19"/>
    <mergeCell ref="AS20:AU20"/>
    <mergeCell ref="BB20:BE20"/>
    <mergeCell ref="AW13:AZ13"/>
    <mergeCell ref="BB13:BE13"/>
    <mergeCell ref="AW14:AZ14"/>
    <mergeCell ref="BB14:BE14"/>
    <mergeCell ref="AW15:AZ15"/>
    <mergeCell ref="BB15:BE15"/>
    <mergeCell ref="AW16:AZ16"/>
    <mergeCell ref="BB16:BE16"/>
    <mergeCell ref="AW17:AZ17"/>
    <mergeCell ref="S29:W29"/>
    <mergeCell ref="S30:W30"/>
    <mergeCell ref="E43:G43"/>
    <mergeCell ref="E44:G44"/>
    <mergeCell ref="K57:N60"/>
    <mergeCell ref="AA58:AE60"/>
    <mergeCell ref="E39:G39"/>
    <mergeCell ref="C56:AO56"/>
    <mergeCell ref="AM30:AO30"/>
    <mergeCell ref="C38:D38"/>
    <mergeCell ref="C39:D39"/>
    <mergeCell ref="C40:D40"/>
    <mergeCell ref="C41:D41"/>
    <mergeCell ref="C42:D42"/>
    <mergeCell ref="P34:S36"/>
    <mergeCell ref="P37:S37"/>
    <mergeCell ref="H34:J36"/>
    <mergeCell ref="H37:J37"/>
    <mergeCell ref="H38:J38"/>
    <mergeCell ref="H39:J39"/>
    <mergeCell ref="H40:J40"/>
    <mergeCell ref="AH34:AK36"/>
    <mergeCell ref="AH37:AK37"/>
    <mergeCell ref="AH38:AK38"/>
    <mergeCell ref="AS34:AU34"/>
    <mergeCell ref="AW34:AZ34"/>
    <mergeCell ref="BB34:BE34"/>
    <mergeCell ref="AM27:AO27"/>
    <mergeCell ref="X27:AL27"/>
    <mergeCell ref="AL43:AO43"/>
    <mergeCell ref="AL44:AO44"/>
    <mergeCell ref="H43:J43"/>
    <mergeCell ref="H44:J44"/>
    <mergeCell ref="P38:S38"/>
    <mergeCell ref="P39:S39"/>
    <mergeCell ref="P40:S40"/>
    <mergeCell ref="P41:S41"/>
    <mergeCell ref="P42:S42"/>
    <mergeCell ref="P43:S43"/>
    <mergeCell ref="P44:S44"/>
    <mergeCell ref="AH43:AK43"/>
    <mergeCell ref="AH44:AK44"/>
    <mergeCell ref="T43:V43"/>
    <mergeCell ref="AL38:AO38"/>
    <mergeCell ref="AL39:AO39"/>
    <mergeCell ref="AL33:AO36"/>
    <mergeCell ref="AL37:AO37"/>
    <mergeCell ref="AB34:AG36"/>
    <mergeCell ref="FI37:FM37"/>
    <mergeCell ref="H13:W13"/>
    <mergeCell ref="AE13:AN13"/>
    <mergeCell ref="H14:W14"/>
    <mergeCell ref="AE14:AN14"/>
    <mergeCell ref="AM26:AO26"/>
    <mergeCell ref="AM25:AO25"/>
    <mergeCell ref="AM28:AO28"/>
    <mergeCell ref="AM29:AO29"/>
    <mergeCell ref="FE13:FH13"/>
    <mergeCell ref="FE14:FH14"/>
    <mergeCell ref="FE15:FH15"/>
    <mergeCell ref="BG23:BJ26"/>
    <mergeCell ref="BL23:BO26"/>
    <mergeCell ref="BQ23:BT26"/>
    <mergeCell ref="BV23:BY26"/>
    <mergeCell ref="CA23:CD26"/>
    <mergeCell ref="AS26:AU26"/>
    <mergeCell ref="AS27:AU27"/>
    <mergeCell ref="AW27:AZ27"/>
    <mergeCell ref="BB27:BE27"/>
    <mergeCell ref="BG27:BJ27"/>
    <mergeCell ref="BL27:BO27"/>
    <mergeCell ref="BQ27:BT27"/>
    <mergeCell ref="EI32:FM32"/>
    <mergeCell ref="EL33:EQ35"/>
    <mergeCell ref="ER33:EW35"/>
    <mergeCell ref="EX33:FC35"/>
    <mergeCell ref="FD33:FH35"/>
    <mergeCell ref="FI33:FM35"/>
    <mergeCell ref="EL36:EQ36"/>
    <mergeCell ref="ER36:EW36"/>
    <mergeCell ref="EX36:FC36"/>
    <mergeCell ref="FD36:FH36"/>
    <mergeCell ref="FI36:FM36"/>
    <mergeCell ref="EI36:EK36"/>
    <mergeCell ref="ES10:EV10"/>
    <mergeCell ref="ES8:EV8"/>
    <mergeCell ref="ES11:EV11"/>
    <mergeCell ref="FE6:FH6"/>
    <mergeCell ref="FE8:FH8"/>
    <mergeCell ref="FE9:FH9"/>
    <mergeCell ref="FE10:FH10"/>
    <mergeCell ref="FE11:FH11"/>
    <mergeCell ref="AW9:AZ12"/>
    <mergeCell ref="BB9:BE12"/>
    <mergeCell ref="BG9:BJ12"/>
    <mergeCell ref="BL9:BO12"/>
    <mergeCell ref="BQ9:BT12"/>
    <mergeCell ref="BV9:BY12"/>
    <mergeCell ref="CM9:CP12"/>
    <mergeCell ref="CA9:CD12"/>
    <mergeCell ref="C8:AO9"/>
    <mergeCell ref="FE12:FH12"/>
    <mergeCell ref="ES9:EV9"/>
    <mergeCell ref="AS12:AU12"/>
    <mergeCell ref="AS13:AU13"/>
    <mergeCell ref="AS14:AU14"/>
    <mergeCell ref="AS15:AU15"/>
    <mergeCell ref="AS16:AU16"/>
    <mergeCell ref="Q32:AN32"/>
    <mergeCell ref="CA27:CD27"/>
    <mergeCell ref="BG28:BJ28"/>
    <mergeCell ref="BL28:BO28"/>
    <mergeCell ref="BQ28:BT28"/>
    <mergeCell ref="BV28:BY28"/>
    <mergeCell ref="CA28:CD28"/>
    <mergeCell ref="AS29:AU29"/>
    <mergeCell ref="AW29:AZ29"/>
    <mergeCell ref="BB29:BE29"/>
    <mergeCell ref="BG29:BJ29"/>
    <mergeCell ref="BL29:BO29"/>
    <mergeCell ref="BQ29:BT29"/>
    <mergeCell ref="BV29:BY29"/>
    <mergeCell ref="CA29:CD29"/>
    <mergeCell ref="BV27:BY27"/>
    <mergeCell ref="EI38:EK38"/>
    <mergeCell ref="EI39:EK39"/>
    <mergeCell ref="EI40:EK40"/>
    <mergeCell ref="EI41:EK41"/>
    <mergeCell ref="EI42:EK42"/>
    <mergeCell ref="EI43:EK43"/>
    <mergeCell ref="ER37:EW37"/>
    <mergeCell ref="EX37:FC37"/>
    <mergeCell ref="FD37:FH37"/>
    <mergeCell ref="EL38:EQ38"/>
    <mergeCell ref="ER38:EW38"/>
    <mergeCell ref="EX38:FC38"/>
    <mergeCell ref="FD38:FH38"/>
    <mergeCell ref="EL41:EQ41"/>
    <mergeCell ref="ER41:EW41"/>
    <mergeCell ref="EX41:FC41"/>
    <mergeCell ref="FD41:FH41"/>
    <mergeCell ref="EL37:EQ37"/>
    <mergeCell ref="EI37:EK37"/>
    <mergeCell ref="FI38:FM38"/>
    <mergeCell ref="EL39:EQ39"/>
    <mergeCell ref="ER39:EW39"/>
    <mergeCell ref="EX39:FC39"/>
    <mergeCell ref="FD39:FH39"/>
    <mergeCell ref="FI39:FM39"/>
    <mergeCell ref="EL40:EQ40"/>
    <mergeCell ref="ER40:EW40"/>
    <mergeCell ref="EX40:FC40"/>
    <mergeCell ref="FD40:FH40"/>
    <mergeCell ref="FI40:FM40"/>
    <mergeCell ref="FI41:FM41"/>
    <mergeCell ref="EL42:EQ42"/>
    <mergeCell ref="ER42:EW42"/>
    <mergeCell ref="EX42:FC42"/>
    <mergeCell ref="FD42:FH42"/>
    <mergeCell ref="FI42:FM42"/>
    <mergeCell ref="EL43:EQ43"/>
    <mergeCell ref="ER43:EW43"/>
    <mergeCell ref="EX43:FC43"/>
    <mergeCell ref="FD43:FH43"/>
    <mergeCell ref="FI43:FM43"/>
    <mergeCell ref="BG30:BJ30"/>
    <mergeCell ref="BL30:BO30"/>
    <mergeCell ref="BQ30:BT30"/>
    <mergeCell ref="BV30:BY30"/>
    <mergeCell ref="CA30:CD30"/>
    <mergeCell ref="AS31:AU31"/>
    <mergeCell ref="AW31:AZ31"/>
    <mergeCell ref="BB31:BE31"/>
    <mergeCell ref="BG31:BJ31"/>
    <mergeCell ref="BL31:BO31"/>
    <mergeCell ref="BQ31:BT31"/>
    <mergeCell ref="BV31:BY31"/>
    <mergeCell ref="CA31:CD31"/>
    <mergeCell ref="AW30:AZ30"/>
    <mergeCell ref="BB30:BE30"/>
    <mergeCell ref="BG34:BJ34"/>
    <mergeCell ref="BL34:BO34"/>
    <mergeCell ref="BQ34:BT34"/>
    <mergeCell ref="BV34:BY34"/>
    <mergeCell ref="CA34:CD34"/>
    <mergeCell ref="AS8:CD8"/>
    <mergeCell ref="AS22:CD22"/>
    <mergeCell ref="AS32:AU32"/>
    <mergeCell ref="AW32:AZ32"/>
    <mergeCell ref="BB32:BE32"/>
    <mergeCell ref="BG32:BJ32"/>
    <mergeCell ref="BL32:BO32"/>
    <mergeCell ref="BQ32:BT32"/>
    <mergeCell ref="BV32:BY32"/>
    <mergeCell ref="CA32:CD32"/>
    <mergeCell ref="AS33:AU33"/>
    <mergeCell ref="AW33:AZ33"/>
    <mergeCell ref="BB33:BE33"/>
    <mergeCell ref="BG33:BJ33"/>
    <mergeCell ref="BL33:BO33"/>
    <mergeCell ref="BQ33:BT33"/>
    <mergeCell ref="BV33:BY33"/>
    <mergeCell ref="CA33:CD33"/>
    <mergeCell ref="AS30:AU30"/>
  </mergeCells>
  <phoneticPr fontId="19" type="noConversion"/>
  <dataValidations count="6">
    <dataValidation allowBlank="1" showInputMessage="1" showErrorMessage="1" promptTitle="VarStec - Typical Minimum Values" prompt="_x000a_• 2.4 kV to 13.8 kV systems: 40 µH  _x000a_• &gt;13.8 kV to 38 kV systems: 80 µH_x000a__x000a_Values shown are guidance only and may require iteration to meet switching device transient current ratings." sqref="H37:J37" xr:uid="{CE5EAC18-8ED0-4CD8-8158-0ED12813B2A9}"/>
    <dataValidation type="list" allowBlank="1" showInputMessage="1" showErrorMessage="1" sqref="S27" xr:uid="{8DF0B02E-FBB3-45E7-8A40-1005B6CE6677}">
      <formula1>"Ungrounded, Grounded"</formula1>
    </dataValidation>
    <dataValidation allowBlank="1" showInputMessage="1" showErrorMessage="1" promptTitle="Design / Engineering Margin" prompt="_x000a_The calculated transient values must not exceed (100% - Margin) of the published switching device limit(s)." sqref="AM27:AO27" xr:uid="{72E8A508-0705-441F-8408-43DC59608E89}"/>
    <dataValidation type="decimal" operator="greaterThan" allowBlank="1" showInputMessage="1" showErrorMessage="1" error="At least one stage must exist. Enter a stage kvar rating greater than 0. Enter stage kvar ratings in sequence starting at stage 1." sqref="E37:G37" xr:uid="{CD546727-0F5F-435A-944C-92EC1B654443}">
      <formula1>0</formula1>
    </dataValidation>
    <dataValidation type="custom" allowBlank="1" showInputMessage="1" showErrorMessage="1" error="Enter the previous stage kvar and inrush reactor values before entering data for this stage." sqref="E38:G44" xr:uid="{222B2125-F499-4434-AD71-1AFB303AAE4E}">
      <formula1>AND(ISNUMBER(E37), E37&gt;0)</formula1>
    </dataValidation>
    <dataValidation type="list" allowBlank="1" showInputMessage="1" showErrorMessage="1" sqref="K37:O44" xr:uid="{2B5E05AE-8588-4564-90CB-2E7A05E05F35}">
      <formula1>"Breaker | C0,Breaker | C1,Breaker | C2,SS SF6 Switch,Vac Switch,Vac Contactor"</formula1>
    </dataValidation>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30C9-C2E1-420F-AD1E-1065D2D6A92E}">
  <dimension ref="A1"/>
  <sheetViews>
    <sheetView workbookViewId="0">
      <selection activeCell="I45" sqref="I45"/>
    </sheetView>
  </sheetViews>
  <sheetFormatPr defaultRowHeight="15" x14ac:dyDescent="0.25"/>
  <sheetData/>
  <sheetProtection algorithmName="SHA-512" hashValue="JbAmCMAicJo9+/0wGaCfNT6OTxiRLyLGaaTLLaasTWoe3UQMyKXvQvt+nphN0adGmdeErp1EkfHtFFZswR04QA==" saltValue="a7RWxIIP95FCAr2WtgqxhA=="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8EDA-A319-4D26-8550-B2E0D32277E8}">
  <dimension ref="A1"/>
  <sheetViews>
    <sheetView workbookViewId="0"/>
  </sheetViews>
  <sheetFormatPr defaultRowHeight="15" x14ac:dyDescent="0.25"/>
  <sheetData/>
  <sheetProtection algorithmName="SHA-512" hashValue="7zb0NdBHtSEcU8fuGWqxAS4Mzfi2wQYqJjIZeol557J1xeIVt6i4IiL7VQMbJvyW7e9wAhQs7p/HhP2HxKsALA==" saltValue="6EVUoP35WvZzr4vDuCAkFQ==" spinCount="100000"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E5C7-6C4A-426D-8A21-06401EBFF460}">
  <dimension ref="A1"/>
  <sheetViews>
    <sheetView workbookViewId="0">
      <selection activeCell="AB11" sqref="AB11"/>
    </sheetView>
  </sheetViews>
  <sheetFormatPr defaultRowHeight="15" x14ac:dyDescent="0.25"/>
  <sheetData/>
  <sheetProtection algorithmName="SHA-512" hashValue="p4ajXWnqP3SbcIjopWZyio/m/q9acVFerKeGI9OKIhhVry8Se1kG9LDH8mQ+IFBMOqWKv4c2pbUtBAdPplaPuw==" saltValue="t8lEZa8VCus7S+p1Mz691A==" spinCount="100000" sheet="1" objects="1" scenarios="1"/>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1830-F1A1-4B71-BC37-228E5F3F9898}">
  <dimension ref="A1"/>
  <sheetViews>
    <sheetView workbookViewId="0">
      <selection activeCell="O17" sqref="O17"/>
    </sheetView>
  </sheetViews>
  <sheetFormatPr defaultRowHeight="15" x14ac:dyDescent="0.25"/>
  <sheetData/>
  <sheetProtection algorithmName="SHA-512" hashValue="7IYeMbjCKT2SqdNKs9QOnkeN7V+thStTkPRaPyizv0BX14yE3OIoW3tIAwYjS9q5GBqRnCdUjCB2ABFmUDRg/w==" saltValue="BljFz0eeSey41/pg59Q4mQ==" spinCount="100000" sheet="1" objects="1" scenarios="1"/>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5AF3D6-801D-421A-A7B3-2CB939068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edbc9-4a38-4633-ac57-12812ade00da"/>
    <ds:schemaRef ds:uri="5733c3ee-3ed4-4876-80d1-ffc06c6923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DB0BE8-6C47-4B58-86A9-9CF74C9EEC54}">
  <ds:schemaRefs>
    <ds:schemaRef ds:uri="http://schemas.microsoft.com/office/infopath/2007/PartnerControl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5733c3ee-3ed4-4876-80d1-ffc06c69238d"/>
    <ds:schemaRef ds:uri="f06edbc9-4a38-4633-ac57-12812ade00da"/>
    <ds:schemaRef ds:uri="http://purl.org/dc/elements/1.1/"/>
  </ds:schemaRefs>
</ds:datastoreItem>
</file>

<file path=customXml/itemProps3.xml><?xml version="1.0" encoding="utf-8"?>
<ds:datastoreItem xmlns:ds="http://schemas.openxmlformats.org/officeDocument/2006/customXml" ds:itemID="{E982AD15-4212-4009-866A-5ED672E8A2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Technical Overview</vt:lpstr>
      <vt:lpstr>Single Ended Substation</vt:lpstr>
      <vt:lpstr>Formulas</vt:lpstr>
      <vt:lpstr>Breakers S1 Cap Switching</vt:lpstr>
      <vt:lpstr>Breakers S2 Cap Switching</vt:lpstr>
      <vt:lpstr>Capacitor Switches</vt:lpstr>
      <vt:lpstr>'Single Ended Substation'!Print_Area</vt:lpstr>
      <vt:lpstr>'Technical Overview'!Print_Area</vt:lpstr>
    </vt:vector>
  </TitlesOfParts>
  <Company>VarStec Power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Capacitor Bank Switching Inrush Analysis Tool for Single Ended Subsations - IEEE C37.012-2022</dc:title>
  <dc:subject>Capacitor Bank Switching Transients</dc:subject>
  <dc:creator>Paul Steciuk;Paul B. Steciuk;VarStec Power Solutions</dc:creator>
  <cp:keywords>C37.012-2022, Switching Transients, Transient Inrush Current, Ixf, IEEE C37.09-2018, IEEE C37.012-2022, IEEE C37.66-2021, IEEE 1036-2020, Peak Inrush Current, Back to Back Transient Inrush Current</cp:keywords>
  <dc:description>The VarStec Capacitor Bank Peak Inrush Analysis Too is an analysis tool used to evaluate transient switching duties in single-ended substations with multi-stage capacitor banks of upto eight stages. The purpose of the tool is to verify that the switching device is adequately rated to withstand the electrical stresses that occuring during capacitor bank switching. </dc:description>
  <cp:lastModifiedBy>Paul Steciuk</cp:lastModifiedBy>
  <cp:lastPrinted>2026-03-25T16:25:04Z</cp:lastPrinted>
  <dcterms:created xsi:type="dcterms:W3CDTF">2025-12-26T20:24:32Z</dcterms:created>
  <dcterms:modified xsi:type="dcterms:W3CDTF">2026-04-16T14:02:38Z</dcterms:modified>
  <cp:category>Professional Engineering Analysis Tool</cp:category>
  <cp:contentStatus>Current - Updated 4-13-2026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