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varstecllc.sharepoint.com/sites/VarStecPowerSolutions/Shared Documents/Spreadsheet Tools/"/>
    </mc:Choice>
  </mc:AlternateContent>
  <xr:revisionPtr revIDLastSave="90" documentId="8_{4E9515B1-0E4B-4DC6-A496-A33B1B0EC682}" xr6:coauthVersionLast="47" xr6:coauthVersionMax="47" xr10:uidLastSave="{04191B55-9BC3-4292-B10E-7172D8271D16}"/>
  <bookViews>
    <workbookView xWindow="-120" yWindow="-120" windowWidth="29040" windowHeight="15720" tabRatio="678" activeTab="1" xr2:uid="{B632598A-E0F5-4192-BD05-2A4920034205}"/>
  </bookViews>
  <sheets>
    <sheet name="Overview and Purpose" sheetId="6" r:id="rId1"/>
    <sheet name="DOL - MotorVAR" sheetId="1" r:id="rId2"/>
    <sheet name="MotorVAR + RVSS" sheetId="5" r:id="rId3"/>
    <sheet name="DOL-MotorVAR-Capative XFMR" sheetId="3" r:id="rId4"/>
    <sheet name="DOL-MotorVAR + Reactor" sheetId="2" r:id="rId5"/>
  </sheets>
  <definedNames>
    <definedName name="_xlnm.Print_Area" localSheetId="1">'DOL - MotorVAR'!$B$2:$AP$49,'DOL - MotorVAR'!$AR$2:$CF$49,'DOL - MotorVAR'!$B$51:$AP$98,'DOL - MotorVAR'!$AR$51:$CF$98,'DOL - MotorVAR'!$B$100:$AP$147,'DOL - MotorVAR'!$AR$100:$CF$147</definedName>
    <definedName name="_xlnm.Print_Area" localSheetId="4">'DOL-MotorVAR + Reactor'!$B$2:$AP$49,'DOL-MotorVAR + Reactor'!$AR$2:$CF$49,'DOL-MotorVAR + Reactor'!$B$51:$AP$98,'DOL-MotorVAR + Reactor'!$AR$51:$CF$98,'DOL-MotorVAR + Reactor'!$B$100:$AP$147,'DOL-MotorVAR + Reactor'!$AR$100:$CF$147</definedName>
    <definedName name="_xlnm.Print_Area" localSheetId="3">'DOL-MotorVAR-Capative XFMR'!$B$2:$AP$49,'DOL-MotorVAR-Capative XFMR'!$AR$2:$CF$49,'DOL-MotorVAR-Capative XFMR'!$B$51:$AP$98,'DOL-MotorVAR-Capative XFMR'!$AR$51:$CF$98,'DOL-MotorVAR-Capative XFMR'!$B$100:$AP$147,'DOL-MotorVAR-Capative XFMR'!$AR$100:$CF$147,'DOL-MotorVAR-Capative XFMR'!$B$149:$AP$196</definedName>
    <definedName name="_xlnm.Print_Area" localSheetId="2">'MotorVAR + RVSS'!$B$2:$AP$49,'MotorVAR + RVSS'!$AR$2:$CF$49,'MotorVAR + RVSS'!$B$51:$AP$98,'MotorVAR + RVSS'!$AR$51:$CF$98,'MotorVAR + RVSS'!$B$100:$AP$147,'MotorVAR + RVSS'!$AR$100:$CF$147,'MotorVAR + RVSS'!$B$149:$AP$196</definedName>
    <definedName name="_xlnm.Print_Area" localSheetId="0">'Overview and Purpose'!$B$2:$AP$49,'Overview and Purpose'!$AR$2:$CF$49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E12" i="5" l="1"/>
  <c r="AS54" i="6"/>
  <c r="C54" i="6"/>
  <c r="CB88" i="3"/>
  <c r="CB87" i="3"/>
  <c r="BO84" i="3"/>
  <c r="BO85" i="3"/>
  <c r="BO83" i="3"/>
  <c r="BL66" i="3"/>
  <c r="BL65" i="3"/>
  <c r="BL70" i="3"/>
  <c r="BL69" i="3"/>
  <c r="BL75" i="3"/>
  <c r="BL74" i="3"/>
  <c r="BA94" i="3"/>
  <c r="BA93" i="3"/>
  <c r="BF66" i="3"/>
  <c r="BE71" i="3"/>
  <c r="BD76" i="3"/>
  <c r="BL91" i="1"/>
  <c r="BL67" i="1"/>
  <c r="BL66" i="1"/>
  <c r="BD73" i="1"/>
  <c r="BF68" i="1"/>
  <c r="BR82" i="1"/>
  <c r="BR83" i="1"/>
  <c r="BQ81" i="1"/>
  <c r="AZ94" i="1"/>
  <c r="V45" i="1"/>
  <c r="AZ93" i="1"/>
  <c r="V44" i="1"/>
  <c r="Y131" i="2"/>
  <c r="W135" i="2"/>
  <c r="AK40" i="2"/>
  <c r="S131" i="5"/>
  <c r="E139" i="5"/>
  <c r="G120" i="5"/>
  <c r="X135" i="5"/>
  <c r="P118" i="5"/>
  <c r="P117" i="5"/>
  <c r="O114" i="5"/>
  <c r="O113" i="5"/>
  <c r="I115" i="5"/>
  <c r="E140" i="5"/>
  <c r="S133" i="5"/>
  <c r="S132" i="5"/>
  <c r="W119" i="2"/>
  <c r="W118" i="2"/>
  <c r="AE125" i="2"/>
  <c r="AE124" i="2"/>
  <c r="V116" i="2"/>
  <c r="V115" i="2"/>
  <c r="Y133" i="2"/>
  <c r="Y132" i="2"/>
  <c r="L139" i="2"/>
  <c r="L138" i="2"/>
  <c r="O121" i="2"/>
  <c r="Q116" i="2"/>
  <c r="CI69" i="2"/>
  <c r="AK38" i="3"/>
  <c r="AK39" i="3"/>
  <c r="AK37" i="3"/>
  <c r="AA35" i="3"/>
  <c r="AB31" i="3"/>
  <c r="AB28" i="3"/>
  <c r="AK28" i="3"/>
  <c r="AK27" i="3"/>
  <c r="AF45" i="3"/>
  <c r="AF44" i="3"/>
  <c r="AG34" i="3"/>
  <c r="AG33" i="3"/>
  <c r="AG30" i="3"/>
  <c r="AG29" i="3"/>
  <c r="AL37" i="2"/>
  <c r="AL36" i="2"/>
  <c r="AK42" i="2"/>
  <c r="AK41" i="2"/>
  <c r="AA33" i="2"/>
  <c r="AA30" i="2"/>
  <c r="AJ30" i="2"/>
  <c r="AJ29" i="2"/>
  <c r="AF32" i="2"/>
  <c r="AF31" i="2"/>
  <c r="X47" i="2"/>
  <c r="X46" i="2"/>
  <c r="AH40" i="5"/>
  <c r="AL31" i="1"/>
  <c r="DE57" i="5"/>
  <c r="BF30" i="5"/>
  <c r="BF29" i="5"/>
  <c r="AF31" i="5"/>
  <c r="AI28" i="5"/>
  <c r="FK30" i="5"/>
  <c r="CW320" i="5"/>
  <c r="AS152" i="5"/>
  <c r="C152" i="5"/>
  <c r="AS103" i="5"/>
  <c r="C103" i="5"/>
  <c r="AS54" i="5"/>
  <c r="C54" i="5"/>
  <c r="W46" i="5"/>
  <c r="W45" i="5"/>
  <c r="AH42" i="5"/>
  <c r="AH41" i="5"/>
  <c r="CJ37" i="5"/>
  <c r="CI38" i="5" s="1"/>
  <c r="FK29" i="5" s="1"/>
  <c r="AS33" i="5"/>
  <c r="CJ33" i="5"/>
  <c r="Y32" i="5"/>
  <c r="CJ32" i="5"/>
  <c r="CI34" i="5" s="1"/>
  <c r="FK27" i="5" s="1"/>
  <c r="AF30" i="5"/>
  <c r="CJ29" i="5"/>
  <c r="AA28" i="5"/>
  <c r="CJ28" i="5"/>
  <c r="CJ25" i="5"/>
  <c r="BF25" i="5"/>
  <c r="DB72" i="5" s="1"/>
  <c r="CJ24" i="5"/>
  <c r="BF21" i="5"/>
  <c r="DB71" i="5" s="1"/>
  <c r="DJ16" i="5"/>
  <c r="ER19" i="5" s="1"/>
  <c r="FM19" i="5" s="1"/>
  <c r="AN9" i="5"/>
  <c r="AS5" i="5"/>
  <c r="AS54" i="2"/>
  <c r="C54" i="2"/>
  <c r="AS5" i="2"/>
  <c r="CJ74" i="3"/>
  <c r="CJ43" i="2"/>
  <c r="CI44" i="2" s="1"/>
  <c r="CJ37" i="1"/>
  <c r="CI38" i="1" s="1"/>
  <c r="AL38" i="1"/>
  <c r="AL37" i="1"/>
  <c r="AL30" i="1"/>
  <c r="AK36" i="1"/>
  <c r="AG33" i="1"/>
  <c r="AG32" i="1"/>
  <c r="Z34" i="1"/>
  <c r="AB30" i="1"/>
  <c r="AS152" i="3"/>
  <c r="C152" i="3"/>
  <c r="AS103" i="3"/>
  <c r="C103" i="3"/>
  <c r="DK91" i="3"/>
  <c r="DK90" i="3"/>
  <c r="DK89" i="3"/>
  <c r="DK87" i="3"/>
  <c r="DK86" i="3"/>
  <c r="DK85" i="3"/>
  <c r="EY77" i="3"/>
  <c r="CI75" i="3"/>
  <c r="CJ70" i="3"/>
  <c r="CJ69" i="3"/>
  <c r="CI71" i="3" s="1"/>
  <c r="CJ66" i="3"/>
  <c r="CJ65" i="3"/>
  <c r="CI67" i="3" s="1"/>
  <c r="CJ62" i="3"/>
  <c r="CJ61" i="3"/>
  <c r="CI63" i="3" s="1"/>
  <c r="CJ58" i="3"/>
  <c r="CJ57" i="3"/>
  <c r="CI59" i="3" s="1"/>
  <c r="AS54" i="3"/>
  <c r="C54" i="3"/>
  <c r="AS38" i="3"/>
  <c r="AS37" i="3"/>
  <c r="BF34" i="3"/>
  <c r="BF33" i="3"/>
  <c r="BF32" i="3"/>
  <c r="BF28" i="3"/>
  <c r="DQ105" i="3" s="1"/>
  <c r="BF24" i="3"/>
  <c r="DQ104" i="3" s="1"/>
  <c r="CZ21" i="3"/>
  <c r="EG24" i="3" s="1"/>
  <c r="BF20" i="3"/>
  <c r="DQ103" i="3" s="1"/>
  <c r="CZ16" i="3"/>
  <c r="EG19" i="3" s="1"/>
  <c r="AN9" i="3"/>
  <c r="AS5" i="3"/>
  <c r="CJ39" i="2"/>
  <c r="CJ38" i="2"/>
  <c r="CJ35" i="2"/>
  <c r="AS33" i="2"/>
  <c r="CJ34" i="2"/>
  <c r="BF30" i="2"/>
  <c r="CJ31" i="2"/>
  <c r="CJ30" i="2"/>
  <c r="BF29" i="2"/>
  <c r="CJ27" i="2"/>
  <c r="CJ26" i="2"/>
  <c r="BF25" i="2"/>
  <c r="DA65" i="2" s="1"/>
  <c r="BF21" i="2"/>
  <c r="DA64" i="2" s="1"/>
  <c r="DJ18" i="2"/>
  <c r="ER19" i="2" s="1"/>
  <c r="GB19" i="2" s="1"/>
  <c r="AN9" i="2"/>
  <c r="AS152" i="1"/>
  <c r="C152" i="1"/>
  <c r="AS103" i="1"/>
  <c r="C103" i="1"/>
  <c r="DQ71" i="1"/>
  <c r="DE57" i="1"/>
  <c r="AS54" i="1"/>
  <c r="C54" i="1"/>
  <c r="AS35" i="1"/>
  <c r="CJ33" i="1"/>
  <c r="BF33" i="1"/>
  <c r="CJ32" i="1"/>
  <c r="CI34" i="1" s="1"/>
  <c r="BF32" i="1"/>
  <c r="BF30" i="1"/>
  <c r="CJ29" i="1"/>
  <c r="BF29" i="1"/>
  <c r="CJ28" i="1"/>
  <c r="CI30" i="1" s="1"/>
  <c r="CJ25" i="1"/>
  <c r="BF25" i="1"/>
  <c r="DQ72" i="1" s="1"/>
  <c r="CJ24" i="1"/>
  <c r="CI26" i="1" s="1"/>
  <c r="BF21" i="1"/>
  <c r="DJ16" i="1"/>
  <c r="ER19" i="1" s="1"/>
  <c r="AN9" i="1"/>
  <c r="AS5" i="1"/>
  <c r="CI43" i="1" l="1"/>
  <c r="CI28" i="2"/>
  <c r="CI40" i="2"/>
  <c r="CI32" i="2"/>
  <c r="CI36" i="2"/>
  <c r="CI26" i="5"/>
  <c r="CI30" i="5"/>
  <c r="CW325" i="5"/>
  <c r="CW324" i="5"/>
  <c r="CW323" i="5" s="1"/>
  <c r="CI43" i="5"/>
  <c r="DJ32" i="5"/>
  <c r="DO32" i="5"/>
  <c r="DJ69" i="3"/>
  <c r="DO69" i="3"/>
  <c r="CI77" i="3"/>
  <c r="DO65" i="3"/>
  <c r="DJ65" i="3"/>
  <c r="DO61" i="3"/>
  <c r="DJ61" i="3"/>
  <c r="DM85" i="3"/>
  <c r="DM86" i="3" s="1"/>
  <c r="DM87" i="3" s="1"/>
  <c r="DM89" i="3"/>
  <c r="DM90" i="3" s="1"/>
  <c r="DM91" i="3" s="1"/>
  <c r="DJ57" i="3"/>
  <c r="DO57" i="3"/>
  <c r="CI40" i="1"/>
  <c r="DJ32" i="1"/>
  <c r="DO32" i="1"/>
  <c r="DJ28" i="1"/>
  <c r="DO28" i="1"/>
  <c r="DN48" i="1"/>
  <c r="DN49" i="1" s="1"/>
  <c r="DN50" i="1" s="1"/>
  <c r="DJ24" i="1"/>
  <c r="DO24" i="1"/>
  <c r="CI80" i="3"/>
  <c r="BS38" i="3" l="1"/>
  <c r="CC88" i="3"/>
  <c r="BS37" i="3"/>
  <c r="CC87" i="3"/>
  <c r="CB91" i="1"/>
  <c r="BS35" i="1"/>
  <c r="DS43" i="1"/>
  <c r="CI45" i="1"/>
  <c r="DN43" i="1"/>
  <c r="DN48" i="5"/>
  <c r="DN49" i="5" s="1"/>
  <c r="DN50" i="5" s="1"/>
  <c r="DJ24" i="5"/>
  <c r="DO24" i="5"/>
  <c r="FK28" i="5"/>
  <c r="DJ28" i="5"/>
  <c r="DO28" i="5"/>
  <c r="CI40" i="5"/>
  <c r="DO30" i="2"/>
  <c r="DJ30" i="2"/>
  <c r="DL55" i="2"/>
  <c r="DL56" i="2" s="1"/>
  <c r="DL57" i="2" s="1"/>
  <c r="DJ26" i="2"/>
  <c r="DO26" i="2"/>
  <c r="DJ7" i="2"/>
  <c r="DJ34" i="2"/>
  <c r="DO34" i="2"/>
  <c r="ES50" i="2"/>
  <c r="CI50" i="2"/>
  <c r="CI46" i="2"/>
  <c r="DN43" i="5"/>
  <c r="DS43" i="5"/>
  <c r="CI45" i="5"/>
  <c r="DJ78" i="3"/>
  <c r="DO78" i="3"/>
  <c r="CZ7" i="3"/>
  <c r="DJ41" i="1"/>
  <c r="DO41" i="1"/>
  <c r="DJ7" i="1"/>
  <c r="CI82" i="3"/>
  <c r="DS80" i="3"/>
  <c r="DN80" i="3"/>
  <c r="BS33" i="2" l="1"/>
  <c r="AL135" i="2"/>
  <c r="DJ46" i="1"/>
  <c r="DO46" i="1"/>
  <c r="ER7" i="1"/>
  <c r="AN135" i="5"/>
  <c r="BS33" i="5"/>
  <c r="DJ41" i="5"/>
  <c r="DO41" i="5"/>
  <c r="DJ7" i="5"/>
  <c r="DJ11" i="2"/>
  <c r="DJ19" i="2"/>
  <c r="DJ14" i="2"/>
  <c r="DJ8" i="2"/>
  <c r="DO8" i="2"/>
  <c r="FM50" i="2"/>
  <c r="ES52" i="2"/>
  <c r="FH50" i="2"/>
  <c r="CI52" i="2"/>
  <c r="DS50" i="2"/>
  <c r="DN50" i="2"/>
  <c r="DJ47" i="2"/>
  <c r="DO47" i="2"/>
  <c r="DJ46" i="5"/>
  <c r="ER7" i="5"/>
  <c r="DO46" i="5"/>
  <c r="CZ11" i="3"/>
  <c r="CZ17" i="3"/>
  <c r="CZ22" i="3"/>
  <c r="CZ8" i="3"/>
  <c r="DE8" i="3"/>
  <c r="DJ17" i="1"/>
  <c r="DJ11" i="1"/>
  <c r="DJ8" i="1"/>
  <c r="DO8" i="1"/>
  <c r="DJ83" i="3"/>
  <c r="DO83" i="3"/>
  <c r="EG7" i="3"/>
  <c r="BH11" i="3" l="1"/>
  <c r="BH32" i="3"/>
  <c r="BH33" i="3"/>
  <c r="BH34" i="3"/>
  <c r="BH29" i="1"/>
  <c r="BH32" i="1"/>
  <c r="BH11" i="2"/>
  <c r="BH29" i="2"/>
  <c r="BH30" i="2"/>
  <c r="ER14" i="1"/>
  <c r="ER20" i="1"/>
  <c r="ER8" i="1"/>
  <c r="EW8" i="1"/>
  <c r="DJ17" i="5"/>
  <c r="DJ11" i="5"/>
  <c r="DJ8" i="5"/>
  <c r="DO8" i="5"/>
  <c r="DJ12" i="2"/>
  <c r="DO12" i="2"/>
  <c r="DO20" i="2"/>
  <c r="DJ20" i="2"/>
  <c r="DJ15" i="2"/>
  <c r="DO15" i="2"/>
  <c r="DJ9" i="2"/>
  <c r="DO53" i="2"/>
  <c r="DJ53" i="2"/>
  <c r="ER7" i="2"/>
  <c r="BH13" i="2"/>
  <c r="DJ13" i="2"/>
  <c r="BH14" i="2" s="1"/>
  <c r="DP62" i="2" s="1"/>
  <c r="FF53" i="2"/>
  <c r="GB7" i="2"/>
  <c r="FK53" i="2"/>
  <c r="ER14" i="5"/>
  <c r="ER20" i="5"/>
  <c r="ER8" i="5"/>
  <c r="EW8" i="5"/>
  <c r="DE12" i="3"/>
  <c r="CZ12" i="3"/>
  <c r="DE18" i="3"/>
  <c r="CZ18" i="3"/>
  <c r="DE23" i="3"/>
  <c r="CZ23" i="3"/>
  <c r="CZ9" i="3"/>
  <c r="DO18" i="1"/>
  <c r="DJ18" i="1"/>
  <c r="DO12" i="1"/>
  <c r="DJ12" i="1"/>
  <c r="DJ9" i="1"/>
  <c r="BH11" i="1"/>
  <c r="EG25" i="3"/>
  <c r="EG14" i="3"/>
  <c r="EG20" i="3"/>
  <c r="EG8" i="3"/>
  <c r="EL8" i="3"/>
  <c r="BH11" i="5" l="1"/>
  <c r="BS34" i="3"/>
  <c r="BS33" i="3"/>
  <c r="BS29" i="1"/>
  <c r="BS32" i="1"/>
  <c r="BH30" i="5"/>
  <c r="BH29" i="5"/>
  <c r="BP30" i="5"/>
  <c r="BP29" i="5"/>
  <c r="ER10" i="1"/>
  <c r="EW15" i="1"/>
  <c r="ER15" i="1"/>
  <c r="EW21" i="1"/>
  <c r="ER21" i="1"/>
  <c r="ER9" i="1"/>
  <c r="DO18" i="5"/>
  <c r="DJ18" i="5"/>
  <c r="DJ12" i="5"/>
  <c r="DO12" i="5"/>
  <c r="DJ9" i="5"/>
  <c r="BH21" i="2"/>
  <c r="DJ21" i="2"/>
  <c r="BH25" i="2"/>
  <c r="DJ16" i="2"/>
  <c r="DJ10" i="2"/>
  <c r="BH15" i="2" s="1"/>
  <c r="BH12" i="2"/>
  <c r="BH32" i="2"/>
  <c r="DP66" i="2" s="1"/>
  <c r="ER20" i="2"/>
  <c r="ER10" i="2"/>
  <c r="ER8" i="2"/>
  <c r="EW8" i="2"/>
  <c r="GB14" i="2"/>
  <c r="GB20" i="2"/>
  <c r="GB8" i="2"/>
  <c r="GG8" i="2"/>
  <c r="GB10" i="2"/>
  <c r="ER10" i="5"/>
  <c r="EW15" i="5"/>
  <c r="ER15" i="5"/>
  <c r="ER21" i="5"/>
  <c r="BP21" i="5" s="1"/>
  <c r="EW21" i="5"/>
  <c r="ER9" i="5"/>
  <c r="BH13" i="3"/>
  <c r="CZ13" i="3"/>
  <c r="CZ14" i="3"/>
  <c r="BH28" i="3"/>
  <c r="CZ19" i="3"/>
  <c r="BH24" i="3"/>
  <c r="CZ24" i="3"/>
  <c r="BH20" i="3"/>
  <c r="CZ10" i="3"/>
  <c r="BH15" i="3" s="1"/>
  <c r="DR102" i="3" s="1"/>
  <c r="BH12" i="3"/>
  <c r="BH35" i="3"/>
  <c r="DR101" i="3" s="1"/>
  <c r="DJ19" i="1"/>
  <c r="BH21" i="1"/>
  <c r="BH13" i="1"/>
  <c r="DJ13" i="1"/>
  <c r="BH14" i="1" s="1"/>
  <c r="DR69" i="1" s="1"/>
  <c r="DJ14" i="1"/>
  <c r="BH25" i="1"/>
  <c r="DJ10" i="1"/>
  <c r="BH15" i="1" s="1"/>
  <c r="DR70" i="1" s="1"/>
  <c r="BH12" i="1"/>
  <c r="BH30" i="1"/>
  <c r="BH33" i="1"/>
  <c r="DR73" i="1" s="1"/>
  <c r="EL26" i="3"/>
  <c r="EG26" i="3"/>
  <c r="EG10" i="3"/>
  <c r="EL15" i="3"/>
  <c r="EG15" i="3"/>
  <c r="EC30" i="3" s="1"/>
  <c r="EL21" i="3"/>
  <c r="EG21" i="3"/>
  <c r="EG9" i="3"/>
  <c r="BS35" i="3" s="1"/>
  <c r="EC101" i="3" s="1"/>
  <c r="BS32" i="3"/>
  <c r="DJ19" i="5" l="1"/>
  <c r="BH21" i="5"/>
  <c r="DP63" i="2"/>
  <c r="DP61" i="2"/>
  <c r="BX29" i="2"/>
  <c r="BX30" i="2"/>
  <c r="BP29" i="2"/>
  <c r="BP30" i="2"/>
  <c r="EW11" i="1"/>
  <c r="ER11" i="1"/>
  <c r="EW25" i="1"/>
  <c r="BS25" i="1"/>
  <c r="BS13" i="1"/>
  <c r="ER17" i="1"/>
  <c r="ER16" i="1"/>
  <c r="BS14" i="1" s="1"/>
  <c r="EC69" i="1" s="1"/>
  <c r="ER22" i="1"/>
  <c r="BS21" i="1"/>
  <c r="BS30" i="1"/>
  <c r="BS33" i="1"/>
  <c r="EC73" i="1" s="1"/>
  <c r="BH13" i="5"/>
  <c r="DJ13" i="5"/>
  <c r="BH14" i="5" s="1"/>
  <c r="DR69" i="5" s="1"/>
  <c r="DJ14" i="5"/>
  <c r="BH25" i="5"/>
  <c r="DJ10" i="5"/>
  <c r="BH15" i="5" s="1"/>
  <c r="DR70" i="5" s="1"/>
  <c r="BH12" i="5"/>
  <c r="BH32" i="5"/>
  <c r="DR73" i="5" s="1"/>
  <c r="BP25" i="5"/>
  <c r="EK34" i="5"/>
  <c r="BH22" i="2"/>
  <c r="DJ22" i="2"/>
  <c r="BH23" i="2" s="1"/>
  <c r="DJ17" i="2"/>
  <c r="BH27" i="2" s="1"/>
  <c r="BH26" i="2"/>
  <c r="ER9" i="2"/>
  <c r="BX32" i="2" s="1"/>
  <c r="EH66" i="2" s="1"/>
  <c r="EW21" i="2"/>
  <c r="ER21" i="2"/>
  <c r="ER25" i="2"/>
  <c r="ER14" i="2" s="1"/>
  <c r="ER11" i="2"/>
  <c r="ER12" i="2" s="1"/>
  <c r="BX26" i="2" s="1"/>
  <c r="EW11" i="2"/>
  <c r="GG15" i="2"/>
  <c r="GB15" i="2"/>
  <c r="GG21" i="2"/>
  <c r="GB21" i="2"/>
  <c r="GB9" i="2"/>
  <c r="BP32" i="2" s="1"/>
  <c r="DY66" i="2" s="1"/>
  <c r="GB25" i="2"/>
  <c r="GB11" i="2"/>
  <c r="EK34" i="2" s="1"/>
  <c r="GG11" i="2"/>
  <c r="ER11" i="5"/>
  <c r="EW11" i="5"/>
  <c r="ER16" i="5"/>
  <c r="ER17" i="5"/>
  <c r="BP13" i="5"/>
  <c r="ER22" i="5"/>
  <c r="BP32" i="5"/>
  <c r="BH14" i="3"/>
  <c r="EY80" i="3" s="1"/>
  <c r="BH29" i="3"/>
  <c r="DR105" i="3" s="1"/>
  <c r="CZ15" i="3"/>
  <c r="BH30" i="3"/>
  <c r="CZ20" i="3"/>
  <c r="BH26" i="3" s="1"/>
  <c r="BH25" i="3"/>
  <c r="DR104" i="3" s="1"/>
  <c r="CZ25" i="3"/>
  <c r="BH22" i="3" s="1"/>
  <c r="BH21" i="3"/>
  <c r="DR103" i="3" s="1"/>
  <c r="DR100" i="3"/>
  <c r="DJ20" i="1"/>
  <c r="BH23" i="1" s="1"/>
  <c r="BH22" i="1"/>
  <c r="DJ15" i="1"/>
  <c r="BH27" i="1" s="1"/>
  <c r="BH26" i="1"/>
  <c r="DR72" i="1" s="1"/>
  <c r="DR68" i="1"/>
  <c r="EG27" i="3"/>
  <c r="BS20" i="3"/>
  <c r="EG11" i="3"/>
  <c r="EL11" i="3"/>
  <c r="EG16" i="3"/>
  <c r="EG17" i="3"/>
  <c r="BS28" i="3"/>
  <c r="BS13" i="3"/>
  <c r="EG22" i="3"/>
  <c r="BS24" i="3"/>
  <c r="BS11" i="3" l="1"/>
  <c r="DR71" i="1"/>
  <c r="DE60" i="1"/>
  <c r="DJ20" i="5"/>
  <c r="BH23" i="5" s="1"/>
  <c r="BH22" i="5"/>
  <c r="DJ15" i="5"/>
  <c r="BH27" i="5" s="1"/>
  <c r="BH26" i="5"/>
  <c r="DR72" i="5" s="1"/>
  <c r="P41" i="5"/>
  <c r="DR68" i="5"/>
  <c r="DP64" i="2"/>
  <c r="CI72" i="2"/>
  <c r="BS11" i="1"/>
  <c r="ER12" i="1"/>
  <c r="ER18" i="1"/>
  <c r="BS27" i="1" s="1"/>
  <c r="BS26" i="1"/>
  <c r="ER23" i="1"/>
  <c r="BS23" i="1" s="1"/>
  <c r="BS22" i="1"/>
  <c r="EC71" i="1" s="1"/>
  <c r="DP65" i="2"/>
  <c r="EK35" i="2"/>
  <c r="BX25" i="2"/>
  <c r="BX21" i="2"/>
  <c r="ER22" i="2"/>
  <c r="EW26" i="2"/>
  <c r="ER26" i="2"/>
  <c r="GB16" i="2"/>
  <c r="BP14" i="2" s="1"/>
  <c r="DY62" i="2" s="1"/>
  <c r="BP13" i="2"/>
  <c r="GB22" i="2"/>
  <c r="BP21" i="2"/>
  <c r="GB26" i="2"/>
  <c r="GG26" i="2"/>
  <c r="GB12" i="2"/>
  <c r="BP25" i="2"/>
  <c r="EA73" i="5"/>
  <c r="BP11" i="5"/>
  <c r="ER12" i="5"/>
  <c r="BP14" i="5"/>
  <c r="EA69" i="5" s="1"/>
  <c r="ER18" i="5"/>
  <c r="BP27" i="5" s="1"/>
  <c r="BP26" i="5"/>
  <c r="BP22" i="5"/>
  <c r="ER23" i="5"/>
  <c r="BP23" i="5" s="1"/>
  <c r="DR106" i="3"/>
  <c r="EW15" i="2"/>
  <c r="ER15" i="2"/>
  <c r="BY13" i="2" s="1"/>
  <c r="ER13" i="2"/>
  <c r="BX27" i="2" s="1"/>
  <c r="EG28" i="3"/>
  <c r="BS22" i="3" s="1"/>
  <c r="BS21" i="3"/>
  <c r="EC103" i="3" s="1"/>
  <c r="EG12" i="3"/>
  <c r="BS14" i="3"/>
  <c r="EC106" i="3" s="1"/>
  <c r="EG18" i="3"/>
  <c r="BS30" i="3" s="1"/>
  <c r="BS29" i="3"/>
  <c r="EC105" i="3" s="1"/>
  <c r="EG23" i="3"/>
  <c r="BS26" i="3" s="1"/>
  <c r="BS25" i="3"/>
  <c r="AS40" i="3" l="1"/>
  <c r="BS12" i="1"/>
  <c r="EC68" i="1" s="1"/>
  <c r="ER13" i="1"/>
  <c r="DE60" i="5"/>
  <c r="DR71" i="5"/>
  <c r="EA71" i="5"/>
  <c r="BP11" i="2"/>
  <c r="BY11" i="2"/>
  <c r="EC72" i="1"/>
  <c r="BP26" i="2"/>
  <c r="DY65" i="2" s="1"/>
  <c r="GB13" i="2"/>
  <c r="BP27" i="2" s="1"/>
  <c r="BP22" i="2"/>
  <c r="GB23" i="2"/>
  <c r="BP23" i="2" s="1"/>
  <c r="BX22" i="2"/>
  <c r="EH64" i="2" s="1"/>
  <c r="ER23" i="2"/>
  <c r="BX23" i="2" s="1"/>
  <c r="ER27" i="2"/>
  <c r="GB27" i="2"/>
  <c r="ER13" i="5"/>
  <c r="BP12" i="5"/>
  <c r="EA72" i="5"/>
  <c r="ER16" i="2"/>
  <c r="BY14" i="2" s="1"/>
  <c r="EH65" i="2"/>
  <c r="EG13" i="3"/>
  <c r="EY83" i="3" s="1"/>
  <c r="BS12" i="3"/>
  <c r="EC100" i="3" s="1"/>
  <c r="EC104" i="3"/>
  <c r="DE63" i="1" l="1"/>
  <c r="BS15" i="1"/>
  <c r="EC70" i="1" s="1"/>
  <c r="EK69" i="1" s="1"/>
  <c r="AS38" i="1"/>
  <c r="DY64" i="2"/>
  <c r="BY12" i="2"/>
  <c r="EH61" i="2" s="1"/>
  <c r="ER28" i="2"/>
  <c r="BY15" i="2" s="1"/>
  <c r="EH63" i="2" s="1"/>
  <c r="GB28" i="2"/>
  <c r="CI77" i="2" s="1"/>
  <c r="BP12" i="2"/>
  <c r="DY61" i="2" s="1"/>
  <c r="BP15" i="5"/>
  <c r="EA70" i="5" s="1"/>
  <c r="DE75" i="5" s="1"/>
  <c r="P40" i="5"/>
  <c r="EA68" i="5"/>
  <c r="EH62" i="2"/>
  <c r="BS15" i="3"/>
  <c r="EC102" i="3" s="1"/>
  <c r="EK101" i="3" s="1"/>
  <c r="BP15" i="2" l="1"/>
  <c r="T39" i="5"/>
  <c r="AS36" i="5"/>
  <c r="FL41" i="5"/>
  <c r="FK40" i="5" s="1"/>
  <c r="FK26" i="5" s="1"/>
  <c r="FK31" i="5" s="1"/>
  <c r="AS39" i="2" l="1"/>
  <c r="CI75" i="2"/>
  <c r="DY63" i="2"/>
  <c r="FK32" i="5"/>
  <c r="FK33" i="5" l="1"/>
  <c r="FK34" i="5"/>
  <c r="GA32" i="5"/>
  <c r="EK35" i="5" s="1"/>
  <c r="GF32" i="5"/>
  <c r="FK35" i="5"/>
  <c r="FK36" i="5" l="1"/>
  <c r="FK38" i="5" s="1"/>
  <c r="GF33" i="5"/>
  <c r="FM10" i="5"/>
  <c r="GA33" i="5"/>
  <c r="FM14" i="5"/>
  <c r="GF34" i="5"/>
  <c r="GA34" i="5"/>
  <c r="BX25" i="5"/>
  <c r="BX26" i="5"/>
  <c r="GF35" i="5"/>
  <c r="GA35" i="5"/>
  <c r="BX27" i="5" l="1"/>
  <c r="EH72" i="5"/>
  <c r="FM15" i="5"/>
  <c r="FR15" i="5"/>
  <c r="FK37" i="5"/>
  <c r="GF36" i="5"/>
  <c r="GA36" i="5"/>
  <c r="FM7" i="5"/>
  <c r="FM11" i="5"/>
  <c r="GE11" i="5" s="1"/>
  <c r="FR11" i="5"/>
  <c r="GF38" i="5"/>
  <c r="GA38" i="5"/>
  <c r="FM17" i="5" l="1"/>
  <c r="FM18" i="5" s="1"/>
  <c r="BX13" i="5"/>
  <c r="FM16" i="5"/>
  <c r="BX14" i="5" s="1"/>
  <c r="EH69" i="5" s="1"/>
  <c r="FM20" i="5"/>
  <c r="GA37" i="5"/>
  <c r="GF37" i="5"/>
  <c r="FR8" i="5"/>
  <c r="FM8" i="5"/>
  <c r="BX11" i="5"/>
  <c r="FM12" i="5"/>
  <c r="BX30" i="5" l="1"/>
  <c r="BX29" i="5"/>
  <c r="BX12" i="5"/>
  <c r="EH68" i="5" s="1"/>
  <c r="FM13" i="5"/>
  <c r="BX15" i="5" s="1"/>
  <c r="EH70" i="5" s="1"/>
  <c r="FM21" i="5"/>
  <c r="FR21" i="5"/>
  <c r="FM9" i="5"/>
  <c r="BX21" i="5" l="1"/>
  <c r="FM22" i="5"/>
  <c r="BX32" i="5"/>
  <c r="DE63" i="5" s="1"/>
  <c r="EH73" i="5" l="1"/>
  <c r="FM23" i="5"/>
  <c r="BX23" i="5" s="1"/>
  <c r="BX22" i="5"/>
  <c r="EH71" i="5" l="1"/>
  <c r="DE65" i="5"/>
  <c r="AS38" i="5"/>
</calcChain>
</file>

<file path=xl/sharedStrings.xml><?xml version="1.0" encoding="utf-8"?>
<sst xmlns="http://schemas.openxmlformats.org/spreadsheetml/2006/main" count="1070" uniqueCount="247">
  <si>
    <t>VarStec Power Solutions, LLC</t>
  </si>
  <si>
    <t>PO Box 942</t>
  </si>
  <si>
    <t>Saratoga Springs, NY 12866</t>
  </si>
  <si>
    <t>518.369.7589</t>
  </si>
  <si>
    <t>Unassisted Motor Start Results</t>
  </si>
  <si>
    <t>Assisted Motor Start Results</t>
  </si>
  <si>
    <t>Starting Current:</t>
  </si>
  <si>
    <t>Starting Current as seen by system:</t>
  </si>
  <si>
    <t>📜 Motor Starting Performance Summary</t>
  </si>
  <si>
    <t>&lt;</t>
  </si>
  <si>
    <t>amps</t>
  </si>
  <si>
    <t>📜 Project Details</t>
  </si>
  <si>
    <t xml:space="preserve"> </t>
  </si>
  <si>
    <t>Unassisted
Motor Start</t>
  </si>
  <si>
    <t>MotorVAR-Assisted Motor Start</t>
  </si>
  <si>
    <t>Percent of Motor FLA:</t>
  </si>
  <si>
    <t>Starting Current as seen by system (% of FLA):</t>
  </si>
  <si>
    <t>Parameter</t>
  </si>
  <si>
    <t>Percent of Rated Torque:</t>
  </si>
  <si>
    <t>Motor Current:</t>
  </si>
  <si>
    <t>Project:</t>
  </si>
  <si>
    <t>Name</t>
  </si>
  <si>
    <t>VarStec Ref:</t>
  </si>
  <si>
    <t>VarStec Reference</t>
  </si>
  <si>
    <t>Starting Current (Magnitude and Angle):</t>
  </si>
  <si>
    <t>Voltage at motor terminals:</t>
  </si>
  <si>
    <t>Customer:</t>
  </si>
  <si>
    <t>Revision #:</t>
  </si>
  <si>
    <t>Rev 1</t>
  </si>
  <si>
    <t>Starting Current (% of FLA):</t>
  </si>
  <si>
    <t>Volts</t>
  </si>
  <si>
    <t>Motor Terminal Voltage at Start:</t>
  </si>
  <si>
    <t>Percent of motor voltage rating:</t>
  </si>
  <si>
    <t>Percent of Full Torque:</t>
  </si>
  <si>
    <t>🧮 Purpose of Spreadsheet Tool</t>
  </si>
  <si>
    <t>Motor Terminal Voltage (% of Rating):</t>
  </si>
  <si>
    <t>Percent Voltage at Motor Bus:</t>
  </si>
  <si>
    <t>Percent of Rated Starting Torque:</t>
  </si>
  <si>
    <t>Percent voltage Sag at Motor Bus:</t>
  </si>
  <si>
    <t>Step-Down Transformer Ratio:</t>
  </si>
  <si>
    <t>Voltage at Primary:</t>
  </si>
  <si>
    <t>📜 System Impact Summary</t>
  </si>
  <si>
    <t>🧮 System Data</t>
  </si>
  <si>
    <t>Percent of Primary Voltage Rating:</t>
  </si>
  <si>
    <t>Percent voltage sag at primary bus:</t>
  </si>
  <si>
    <t>Utility Source (PCC)</t>
  </si>
  <si>
    <t>System Configuration</t>
  </si>
  <si>
    <t>(Source Voltage):</t>
  </si>
  <si>
    <r>
      <t>kV</t>
    </r>
    <r>
      <rPr>
        <vertAlign val="subscript"/>
        <sz val="11"/>
        <color theme="1"/>
        <rFont val="Calibri"/>
        <family val="2"/>
        <scheme val="minor"/>
      </rPr>
      <t>LL</t>
    </r>
  </si>
  <si>
    <t xml:space="preserve"> Percent of Nominal:</t>
  </si>
  <si>
    <r>
      <t>Short Circuit Current at Primary V</t>
    </r>
    <r>
      <rPr>
        <vertAlign val="subscript"/>
        <sz val="11"/>
        <color theme="1"/>
        <rFont val="Calibri"/>
        <family val="2"/>
        <scheme val="minor"/>
      </rPr>
      <t>p</t>
    </r>
    <r>
      <rPr>
        <sz val="11"/>
        <color theme="1"/>
        <rFont val="Calibri"/>
        <family val="2"/>
        <scheme val="minor"/>
      </rPr>
      <t>:</t>
    </r>
  </si>
  <si>
    <r>
      <t>kA</t>
    </r>
    <r>
      <rPr>
        <vertAlign val="subscript"/>
        <sz val="11"/>
        <color theme="1"/>
        <rFont val="Calibri"/>
        <family val="2"/>
        <scheme val="minor"/>
      </rPr>
      <t>3-phase</t>
    </r>
  </si>
  <si>
    <t>Voltage Drop:</t>
  </si>
  <si>
    <t>Utility Impedance at Motor Bus Voltage</t>
  </si>
  <si>
    <t>X/R Ratio:</t>
  </si>
  <si>
    <t>R</t>
  </si>
  <si>
    <t>ohms</t>
  </si>
  <si>
    <t>Step-Down Transformer</t>
  </si>
  <si>
    <t>X</t>
  </si>
  <si>
    <t>Base MVA Rating:</t>
  </si>
  <si>
    <t>MVA</t>
  </si>
  <si>
    <r>
      <t>Secondary Voltage V</t>
    </r>
    <r>
      <rPr>
        <vertAlign val="subscript"/>
        <sz val="11"/>
        <color theme="1"/>
        <rFont val="Calibri"/>
        <family val="2"/>
        <scheme val="minor"/>
      </rPr>
      <t>S</t>
    </r>
    <r>
      <rPr>
        <sz val="11"/>
        <color theme="1"/>
        <rFont val="Calibri"/>
        <family val="2"/>
        <scheme val="minor"/>
      </rPr>
      <t>:</t>
    </r>
  </si>
  <si>
    <t>Step-Down Transformer Impedance at Motor Bus Voltage</t>
  </si>
  <si>
    <t>Leakage Impeadance of Transformer:</t>
  </si>
  <si>
    <t>%</t>
  </si>
  <si>
    <t>Motor</t>
  </si>
  <si>
    <t>Voltage Rating:</t>
  </si>
  <si>
    <t>Locked Rotor Motor Impedance at Motor Voltage</t>
  </si>
  <si>
    <t>Horse Power Rating:</t>
  </si>
  <si>
    <t>HP</t>
  </si>
  <si>
    <t>Full Load Current Rating (FLA):</t>
  </si>
  <si>
    <t>Full Load Power Factor:</t>
  </si>
  <si>
    <t>Full Load Efficiency:</t>
  </si>
  <si>
    <t>MotorVAR Impedance at MotorVAR Voltage Rating</t>
  </si>
  <si>
    <t>Locked Rotor Current Rating (LRA):</t>
  </si>
  <si>
    <t>Locked Rotor Power Factor (PF):</t>
  </si>
  <si>
    <t>MotorVAR</t>
  </si>
  <si>
    <t>MotorVAR Voltage Rating:</t>
  </si>
  <si>
    <t>Total Impedance at Motor Voltage (unassisted)</t>
  </si>
  <si>
    <t>MotorVAR Reactive Power Rating:</t>
  </si>
  <si>
    <t>MVAR</t>
  </si>
  <si>
    <t>Number of Stages:</t>
  </si>
  <si>
    <t>Total Impedance at Motor</t>
  </si>
  <si>
    <t>Impedance of Motor and MotorVAR System</t>
  </si>
  <si>
    <t>Note:</t>
  </si>
  <si>
    <t>Total Impedance at Motor Voltage (assisted)</t>
  </si>
  <si>
    <t>Info@VarStec.com</t>
  </si>
  <si>
    <t>2 | P a g e</t>
  </si>
  <si>
    <t xml:space="preserve">Short Circuit Current at secondary bus: </t>
  </si>
  <si>
    <t>kA</t>
  </si>
  <si>
    <t>MVA short circuit:</t>
  </si>
  <si>
    <t>MVAsc</t>
  </si>
  <si>
    <t>🧮 Summary of Input Data</t>
  </si>
  <si>
    <t>Text Box 1</t>
  </si>
  <si>
    <t>Text Box 2</t>
  </si>
  <si>
    <t>Text Box 3</t>
  </si>
  <si>
    <t>🧮 Baseline Unassisted Motor Start</t>
  </si>
  <si>
    <t>Unassisted</t>
  </si>
  <si>
    <t>MotorVAR Assisted</t>
  </si>
  <si>
    <t>Motor Starting Current (% of FLA):</t>
  </si>
  <si>
    <t>Motor Terminal Voltage (Percent of Rated):</t>
  </si>
  <si>
    <t>Percent of Rated Started Torque:</t>
  </si>
  <si>
    <t>Inrush current seen by system (% of FLA):</t>
  </si>
  <si>
    <t>🧮 MotorVAR-Assisted Motor Start - Voltage Sag Mitigation</t>
  </si>
  <si>
    <t>🧮 Simplified High-Performance Motor Starting with MotorVAR</t>
  </si>
  <si>
    <t>3 | P a g e</t>
  </si>
  <si>
    <t>4 | P a g e</t>
  </si>
  <si>
    <t>5 | P a g e</t>
  </si>
  <si>
    <t>6 | P a g e</t>
  </si>
  <si>
    <t>7 | P a g e</t>
  </si>
  <si>
    <t>8 | P a g e</t>
  </si>
  <si>
    <r>
      <t>CAPACITANCE (</t>
    </r>
    <r>
      <rPr>
        <sz val="11"/>
        <color theme="1"/>
        <rFont val="Calibri"/>
        <family val="2"/>
      </rPr>
      <t>µf)</t>
    </r>
  </si>
  <si>
    <t>(µf)</t>
  </si>
  <si>
    <t>Ohms</t>
  </si>
  <si>
    <r>
      <t>X</t>
    </r>
    <r>
      <rPr>
        <b/>
        <vertAlign val="subscript"/>
        <sz val="12"/>
        <color theme="1"/>
        <rFont val="Calibri"/>
        <family val="2"/>
        <scheme val="minor"/>
      </rPr>
      <t>c</t>
    </r>
    <r>
      <rPr>
        <b/>
        <sz val="12"/>
        <color theme="1"/>
        <rFont val="Calibri"/>
        <family val="2"/>
        <scheme val="minor"/>
      </rPr>
      <t xml:space="preserve"> </t>
    </r>
    <r>
      <rPr>
        <sz val="12"/>
        <color theme="1"/>
        <rFont val="Calibri"/>
        <family val="2"/>
        <scheme val="minor"/>
      </rPr>
      <t>(Ohms)</t>
    </r>
  </si>
  <si>
    <t>CAPACITOR KVAR</t>
  </si>
  <si>
    <t>kvar</t>
  </si>
  <si>
    <t>CAPACITOR FREQUENCY</t>
  </si>
  <si>
    <t>Hertz</t>
  </si>
  <si>
    <t>CAPACITOR VOLTAGE (kV)</t>
  </si>
  <si>
    <t>kV</t>
  </si>
  <si>
    <t>RATED CURRENT</t>
  </si>
  <si>
    <t>AMPS</t>
  </si>
  <si>
    <t>MotorVAR™ SIZING TOOL, MotorVar | REACTOR-ASSISTED MOTOR START SYSTEM</t>
  </si>
  <si>
    <r>
      <t>Unassisted
Motor Start</t>
    </r>
    <r>
      <rPr>
        <b/>
        <vertAlign val="superscript"/>
        <sz val="14"/>
        <color rgb="FFFF0000"/>
        <rFont val="Calibri"/>
        <family val="2"/>
        <scheme val="minor"/>
      </rPr>
      <t>1</t>
    </r>
  </si>
  <si>
    <t>Motor Bus Voltage (secondary bus voltage):</t>
  </si>
  <si>
    <t>Motor Bus Voltage (Secondary Bus Voltage):</t>
  </si>
  <si>
    <t>Voltage at Motor Bus:</t>
  </si>
  <si>
    <t>x</t>
  </si>
  <si>
    <t>Starting-Reactor</t>
  </si>
  <si>
    <t>Inductive Reactance of Reactor:</t>
  </si>
  <si>
    <t>Reactor Impedance</t>
  </si>
  <si>
    <t>Total Impedance at Motor Voltage (source, transformer, reactor, motor)</t>
  </si>
  <si>
    <t>Impedance of Motor, Reactor Start, and MotorVAR System</t>
  </si>
  <si>
    <t>xx</t>
  </si>
  <si>
    <t>Unassisted Start</t>
  </si>
  <si>
    <t>motor</t>
  </si>
  <si>
    <t>Motor Parameters</t>
  </si>
  <si>
    <t>Percent Voltage at Motor Bus(sec of captive xfmr):</t>
  </si>
  <si>
    <t>Captive Transformer Ratio:</t>
  </si>
  <si>
    <t>Voltage at Capative XFMR Primary:</t>
  </si>
  <si>
    <t>Percent Voltage at Motor Bus (captive xfmr secondary):</t>
  </si>
  <si>
    <t>System Parameters</t>
  </si>
  <si>
    <t>Percent of Primary  Capative XFMR Voltage Rating:</t>
  </si>
  <si>
    <t>Capative Transformer Ratio:</t>
  </si>
  <si>
    <t>Percent voltage sag, capactive transformer primary:</t>
  </si>
  <si>
    <t>Voltage at capative transformer primary:</t>
  </si>
  <si>
    <t>Step-Down Transformer Rating:</t>
  </si>
  <si>
    <t>Voltage at PCC:</t>
  </si>
  <si>
    <t>Percent voltage at PCC, percent of nominal:</t>
  </si>
  <si>
    <t>Percent voltage sag, PCC:</t>
  </si>
  <si>
    <t>Capative Transformer</t>
  </si>
  <si>
    <t>Capative Transformer Impedance at Motor Bus Voltage</t>
  </si>
  <si>
    <t xml:space="preserve">Short Circuit Current at motor bus: </t>
  </si>
  <si>
    <t>`</t>
  </si>
  <si>
    <t>RVSS SETTING</t>
  </si>
  <si>
    <t>Unassisted
Start</t>
  </si>
  <si>
    <t>Assisted Motor Start Results / No RVSS</t>
  </si>
  <si>
    <r>
      <t>MotorVAR
Assisted</t>
    </r>
    <r>
      <rPr>
        <b/>
        <vertAlign val="superscript"/>
        <sz val="14"/>
        <color rgb="FF0E9ED9"/>
        <rFont val="Calibri"/>
        <family val="2"/>
        <scheme val="minor"/>
      </rPr>
      <t>1</t>
    </r>
  </si>
  <si>
    <t>1: MotorVAR Performance with RVSS out of service (bypassed).</t>
  </si>
  <si>
    <t>MotorVAR™ - MOTOR START CAPACITOR BANK - SIZING TOOL 
CAPTIVE TRANSFORMER CONFIGURATION</t>
  </si>
  <si>
    <t>MotorVAR™ - MOTOR START CAPACITOR BANK - SIZING TOOL 
SIMPLE SYSTEM CONFIGURATION</t>
  </si>
  <si>
    <t>Max. Setting With MotorVAR Assist:</t>
  </si>
  <si>
    <t>Max. Setting Without MotorVAR Assist:</t>
  </si>
  <si>
    <t>Im:</t>
  </si>
  <si>
    <t>Vm:</t>
  </si>
  <si>
    <r>
      <t>I</t>
    </r>
    <r>
      <rPr>
        <vertAlign val="subscript"/>
        <sz val="16"/>
        <color theme="1"/>
        <rFont val="Calibri"/>
        <family val="2"/>
        <scheme val="minor"/>
      </rPr>
      <t>C</t>
    </r>
    <r>
      <rPr>
        <sz val="16"/>
        <color theme="1"/>
        <rFont val="Calibri"/>
        <family val="2"/>
        <scheme val="minor"/>
      </rPr>
      <t>:</t>
    </r>
  </si>
  <si>
    <t>Is:</t>
  </si>
  <si>
    <t>K:</t>
  </si>
  <si>
    <t>Vs:</t>
  </si>
  <si>
    <t>Zc:</t>
  </si>
  <si>
    <t>Zsys:</t>
  </si>
  <si>
    <t>Zm:</t>
  </si>
  <si>
    <r>
      <t>I</t>
    </r>
    <r>
      <rPr>
        <vertAlign val="subscript"/>
        <sz val="16"/>
        <color theme="1"/>
        <rFont val="Calibri"/>
        <family val="2"/>
        <scheme val="minor"/>
      </rPr>
      <t>LIM:</t>
    </r>
  </si>
  <si>
    <t>Calculation of K / RVSS performance</t>
  </si>
  <si>
    <t>Vbus=Vsec:</t>
  </si>
  <si>
    <t>Vpri:</t>
  </si>
  <si>
    <t>Phase-phase</t>
  </si>
  <si>
    <t>Vsec:</t>
  </si>
  <si>
    <t>helper cells to left, keep</t>
  </si>
  <si>
    <r>
      <t>RVSS Current Limit (I</t>
    </r>
    <r>
      <rPr>
        <vertAlign val="subscript"/>
        <sz val="11"/>
        <color theme="1"/>
        <rFont val="Calibri"/>
        <family val="2"/>
        <scheme val="minor"/>
      </rPr>
      <t>LIM</t>
    </r>
    <r>
      <rPr>
        <sz val="11"/>
        <color theme="1"/>
        <rFont val="Calibri"/>
        <family val="2"/>
        <scheme val="minor"/>
      </rPr>
      <t>):</t>
    </r>
  </si>
  <si>
    <r>
      <t>I</t>
    </r>
    <r>
      <rPr>
        <vertAlign val="subscript"/>
        <sz val="11"/>
        <color theme="1"/>
        <rFont val="Calibri"/>
        <family val="2"/>
        <scheme val="minor"/>
      </rPr>
      <t>LIM</t>
    </r>
  </si>
  <si>
    <t>Percent of Motor FLA seen by system:</t>
  </si>
  <si>
    <t>Text Box 4:</t>
  </si>
  <si>
    <t>🧮 System Description and Inputs</t>
  </si>
  <si>
    <t>🧮 Baseline Case: No MotorVAR or RVSS System</t>
  </si>
  <si>
    <t>🧮 MotorVAR Only (RVSS Bypassed)</t>
  </si>
  <si>
    <t>🧮 One-Line Representation of Results</t>
  </si>
  <si>
    <t>+1.518.369.7589</t>
  </si>
  <si>
    <t>📐  Simplified High-Performance Motor Starting with the MotorVAR Solution</t>
  </si>
  <si>
    <t>Appendix</t>
  </si>
  <si>
    <t>RVSS Motor Starting – Calculation Method Summary</t>
  </si>
  <si>
    <t>Equations</t>
  </si>
  <si>
    <t>Appendix Continued</t>
  </si>
  <si>
    <t>Assisted Motor Start Results With Reactor</t>
  </si>
  <si>
    <t>Assisted Motor Start Results Without Reactor</t>
  </si>
  <si>
    <t>Impedance of Motor and MotorVAR System (Reactor ByPassed)</t>
  </si>
  <si>
    <t>Total Impedance at Motor Bus Voltage (assisted, includes motor, motorVAR, Reactor, StepDown XFMR, and utility impedance)</t>
  </si>
  <si>
    <t>Total Impedance at Motor Bus Voltage (assisted start, includes motor, motorVAR, StepDown XFMR, and utility impedance, Reactor is bypassed)</t>
  </si>
  <si>
    <r>
      <t>MotorVAR + RVSS
Assisted</t>
    </r>
    <r>
      <rPr>
        <b/>
        <vertAlign val="superscript"/>
        <sz val="14"/>
        <color rgb="FF0070C0"/>
        <rFont val="Calibri"/>
        <family val="2"/>
        <scheme val="minor"/>
      </rPr>
      <t>2</t>
    </r>
  </si>
  <si>
    <t>MotorVAR + RVSS
Assisted</t>
  </si>
  <si>
    <t>1:Performance with MotorVAR out of service and reactor bypassed (an across the line start with no assistance).</t>
  </si>
  <si>
    <t>3: MotorVAR + Reactor Performance</t>
  </si>
  <si>
    <r>
      <t>MotorVAR Assisted</t>
    </r>
    <r>
      <rPr>
        <b/>
        <vertAlign val="superscript"/>
        <sz val="14"/>
        <color rgb="FF0E9ED9"/>
        <rFont val="Calibri"/>
        <family val="2"/>
        <scheme val="minor"/>
      </rPr>
      <t>2</t>
    </r>
  </si>
  <si>
    <r>
      <t>MotorVAR + Reactor Assisted</t>
    </r>
    <r>
      <rPr>
        <b/>
        <vertAlign val="superscript"/>
        <sz val="14"/>
        <color rgb="FF0070C0"/>
        <rFont val="Calibri"/>
        <family val="2"/>
        <scheme val="minor"/>
      </rPr>
      <t>3</t>
    </r>
  </si>
  <si>
    <t>MotorVAR + Reactor Assisted</t>
  </si>
  <si>
    <t>🧮 MotorVAR Only (Reactor Bypassed)</t>
  </si>
  <si>
    <t>Text Box 4</t>
  </si>
  <si>
    <t>MotorVAR + Reactor Calculation Method Summary</t>
  </si>
  <si>
    <t>MotorVAR Calculation Method Summary</t>
  </si>
  <si>
    <t>MotorVAR + Captive Transformer Calculation Method Summary</t>
  </si>
  <si>
    <t xml:space="preserve">Table Summary </t>
  </si>
  <si>
    <t>MotorVAR System</t>
  </si>
  <si>
    <t>Legend:</t>
  </si>
  <si>
    <t>Red: Across the line start, no assistance</t>
  </si>
  <si>
    <t>🧮 Combined MotorVAR + Line Reactor</t>
  </si>
  <si>
    <t>🧮 Baseline Case: No MotorVAR or MotorVAR + Reactor System</t>
  </si>
  <si>
    <t>Disclaimer and Use Limitation</t>
  </si>
  <si>
    <t>This spreadsheet is provided for preliminary engineering evaluation only. The calculations are based on simplified, steady-state models and user-supplied input data and are intended to support initial screening, comparative analysis, and conceptual design.  It is intended for use only by qualified technical professionals and should not be used as a substitute for detailed engineering studies, manufacturer-validated analyses, or final design verification. VarStec Power Solutions, LLC makes no representations or warranties, express or implied, and assumes no responsibility or liability for decisions or actions taken based on use of this tool.</t>
  </si>
  <si>
    <t>MotorVAR current:</t>
  </si>
  <si>
    <t>Bypassed:</t>
  </si>
  <si>
    <t>No Assist:</t>
  </si>
  <si>
    <t>MotorVAR + Reactor</t>
  </si>
  <si>
    <t>Current of MotorVAR</t>
  </si>
  <si>
    <t xml:space="preserve">Step Down </t>
  </si>
  <si>
    <t>Transformer</t>
  </si>
  <si>
    <t>Dark Blue: MotorVAR + RVSS assisted</t>
  </si>
  <si>
    <t xml:space="preserve">Light Blue: MotorVAR assisted (reactor bypassed) </t>
  </si>
  <si>
    <t>Light Blue: MotorVAR with (reactor bypassed)</t>
  </si>
  <si>
    <t>Dark Blue: MotorVAR + Reactor Assisted</t>
  </si>
  <si>
    <t>Line Reactor</t>
  </si>
  <si>
    <t>RVSS</t>
  </si>
  <si>
    <t>BYPASS</t>
  </si>
  <si>
    <t xml:space="preserve">System Configuration
MotorVAR + Reactor </t>
  </si>
  <si>
    <t>System Configuration
MotorVAR + RVSS</t>
  </si>
  <si>
    <t>MotorVAR™ - MOTOR START CAPACITOR BANK - SIZING TOOL 
MotorVAR + LINE REACTOR CONFIGURATION</t>
  </si>
  <si>
    <r>
      <t>MotorVAR</t>
    </r>
    <r>
      <rPr>
        <b/>
        <sz val="14"/>
        <color rgb="FF0E9ED9"/>
        <rFont val="Aptos Narrow"/>
        <family val="2"/>
      </rPr>
      <t>™</t>
    </r>
    <r>
      <rPr>
        <b/>
        <sz val="14"/>
        <color rgb="FF0E9ED9"/>
        <rFont val="Calibri"/>
        <family val="2"/>
        <scheme val="minor"/>
      </rPr>
      <t xml:space="preserve"> SIZING TOOL - MOTOR START CAPACITOR BANK
MotorVAR + RVSS CONFIGURATION </t>
    </r>
  </si>
  <si>
    <t>MotorVAR Current:</t>
  </si>
  <si>
    <t>Light Blue: MotorVAR assisted start</t>
  </si>
  <si>
    <t>Sheet Rev Date: 1-11-26</t>
  </si>
  <si>
    <t>Sheet Rev Date: 1-11-2026</t>
  </si>
  <si>
    <t>MotorVAR Current</t>
  </si>
  <si>
    <t>This analysis provides preliminary MotorVAR sizing intended for feasibility assessment and system impact evaluation. Final MotorVAR configuration, staging, and protection coordination should be confirmed with a detailed engineering and dynamic motor starting study.</t>
  </si>
  <si>
    <t>2: MotorVAR performance with reactor bypassed.</t>
  </si>
  <si>
    <t>🧮 Combined MotorVAR + RVSS</t>
  </si>
  <si>
    <t>MotorVAR™ Medium-Voltage Motor Starting System
Overview and Purpose of This Workbook</t>
  </si>
  <si>
    <t>MotorVAR Medium-Voltage Motor Starting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</si>
</sst>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000000"/>
    <numFmt numFmtId="167" formatCode="0.000"/>
    <numFmt numFmtId="168" formatCode="0.000000000"/>
    <numFmt numFmtId="169" formatCode="0.0000"/>
  </numFmts>
  <fonts count="3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E9ED9"/>
      <name val="Calibri"/>
      <family val="2"/>
      <scheme val="minor"/>
    </font>
    <font>
      <b/>
      <sz val="14"/>
      <color rgb="FF0E9ED9"/>
      <name val="Calibri"/>
      <family val="2"/>
      <scheme val="minor"/>
    </font>
    <font>
      <b/>
      <sz val="14"/>
      <color rgb="FF0E9ED9"/>
      <name val="Aptos Narrow"/>
      <family val="2"/>
    </font>
    <font>
      <sz val="11"/>
      <color theme="5" tint="0.39997558519241921"/>
      <name val="Calibri"/>
      <family val="2"/>
      <scheme val="minor"/>
    </font>
    <font>
      <b/>
      <sz val="14"/>
      <color rgb="FFFF0000"/>
      <name val="Calibri"/>
      <family val="2"/>
      <scheme val="minor"/>
    </font>
    <font>
      <sz val="11"/>
      <color rgb="FF0E9ED9"/>
      <name val="Calibri"/>
      <family val="2"/>
      <scheme val="minor"/>
    </font>
    <font>
      <vertAlign val="subscript"/>
      <sz val="11"/>
      <color theme="1"/>
      <name val="Calibri"/>
      <family val="2"/>
      <scheme val="minor"/>
    </font>
    <font>
      <u/>
      <sz val="11"/>
      <color theme="10"/>
      <name val="Calibri"/>
      <family val="2"/>
      <scheme val="minor"/>
    </font>
    <font>
      <i/>
      <sz val="10"/>
      <color theme="0" tint="-0.14999847407452621"/>
      <name val="Calibri"/>
      <family val="2"/>
      <scheme val="minor"/>
    </font>
    <font>
      <sz val="11"/>
      <color rgb="FF000000"/>
      <name val="Calibri"/>
      <family val="2"/>
      <scheme val="minor"/>
    </font>
    <font>
      <b/>
      <sz val="14"/>
      <color theme="1"/>
      <name val="Calibri"/>
      <family val="2"/>
      <scheme val="minor"/>
    </font>
    <font>
      <sz val="11"/>
      <color theme="1"/>
      <name val="Calibri"/>
      <family val="2"/>
    </font>
    <font>
      <b/>
      <vertAlign val="subscript"/>
      <sz val="12"/>
      <color theme="1"/>
      <name val="Calibri"/>
      <family val="2"/>
      <scheme val="minor"/>
    </font>
    <font>
      <b/>
      <sz val="12"/>
      <color theme="1"/>
      <name val="Calibri"/>
      <family val="2"/>
      <scheme val="minor"/>
    </font>
    <font>
      <sz val="12"/>
      <color theme="1"/>
      <name val="Calibri"/>
      <family val="2"/>
      <scheme val="minor"/>
    </font>
    <font>
      <b/>
      <vertAlign val="superscript"/>
      <sz val="14"/>
      <color rgb="FFFF0000"/>
      <name val="Calibri"/>
      <family val="2"/>
      <scheme val="minor"/>
    </font>
    <font>
      <sz val="11"/>
      <color rgb="FF00B0F0"/>
      <name val="Calibri"/>
      <family val="2"/>
      <scheme val="minor"/>
    </font>
    <font>
      <b/>
      <vertAlign val="superscript"/>
      <sz val="14"/>
      <color rgb="FF0E9ED9"/>
      <name val="Calibri"/>
      <family val="2"/>
      <scheme val="minor"/>
    </font>
    <font>
      <sz val="10.5"/>
      <color theme="1"/>
      <name val="Calibri"/>
      <family val="2"/>
      <scheme val="minor"/>
    </font>
    <font>
      <sz val="16"/>
      <color theme="1"/>
      <name val="Calibri"/>
      <family val="2"/>
      <scheme val="minor"/>
    </font>
    <font>
      <vertAlign val="subscript"/>
      <sz val="16"/>
      <color theme="1"/>
      <name val="Calibri"/>
      <family val="2"/>
      <scheme val="minor"/>
    </font>
    <font>
      <b/>
      <sz val="16"/>
      <color theme="1"/>
      <name val="Calibri"/>
      <family val="2"/>
      <scheme val="minor"/>
    </font>
    <font>
      <sz val="11"/>
      <name val="Calibri"/>
      <family val="2"/>
      <scheme val="minor"/>
    </font>
    <font>
      <i/>
      <sz val="10"/>
      <color theme="1"/>
      <name val="Calibri"/>
      <family val="2"/>
      <scheme val="minor"/>
    </font>
    <font>
      <b/>
      <sz val="14"/>
      <color rgb="FF00B0F0"/>
      <name val="Calibri"/>
      <family val="2"/>
      <scheme val="minor"/>
    </font>
    <font>
      <b/>
      <sz val="14"/>
      <color rgb="FF0070C0"/>
      <name val="Calibri"/>
      <family val="2"/>
      <scheme val="minor"/>
    </font>
    <font>
      <b/>
      <vertAlign val="superscript"/>
      <sz val="14"/>
      <color rgb="FF0070C0"/>
      <name val="Calibri"/>
      <family val="2"/>
      <scheme val="minor"/>
    </font>
    <font>
      <b/>
      <sz val="11"/>
      <color rgb="FF0070C0"/>
      <name val="Calibri"/>
      <family val="2"/>
      <scheme val="minor"/>
    </font>
    <font>
      <b/>
      <sz val="11"/>
      <color rgb="FFFF0000"/>
      <name val="Calibri"/>
      <family val="2"/>
      <scheme val="minor"/>
    </font>
    <font>
      <b/>
      <sz val="11"/>
      <color rgb="FF00B0F0"/>
      <name val="Calibri"/>
      <family val="2"/>
      <scheme val="minor"/>
    </font>
    <font>
      <sz val="11"/>
      <color theme="4"/>
      <name val="Calibri"/>
      <family val="2"/>
      <scheme val="minor"/>
    </font>
    <font>
      <b/>
      <sz val="11"/>
      <color theme="4"/>
      <name val="Calibri"/>
      <family val="2"/>
      <scheme val="minor"/>
    </font>
    <font>
      <sz val="10"/>
      <color theme="1"/>
      <name val="Calibri"/>
      <family val="2"/>
      <scheme val="minor"/>
    </font>
    <font>
      <b/>
      <sz val="16"/>
      <color rgb="FF0E9ED9"/>
      <name val="Calibri"/>
      <family val="2"/>
      <scheme val="minor"/>
    </font>
  </fonts>
  <fills count="6">
    <fill>
      <patternFill patternType="none"/>
    </fill>
    <fill>
      <patternFill patternType="gray125"/>
    </fill>
    <fill>
      <patternFill patternType="solid">
        <fgColor rgb="FFFFFFCC"/>
      </patternFill>
    </fill>
    <fill>
      <patternFill patternType="solid">
        <fgColor rgb="FFB8E7FA"/>
        <bgColor indexed="64"/>
      </patternFill>
    </fill>
    <fill>
      <patternFill patternType="solid">
        <fgColor rgb="FFFFFF00"/>
        <bgColor indexed="64"/>
      </patternFill>
    </fill>
    <fill>
      <patternFill patternType="solid">
        <fgColor theme="0"/>
        <bgColor indexed="64"/>
      </patternFill>
    </fill>
  </fills>
  <borders count="20">
    <border>
      <left/>
      <right/>
      <top/>
      <bottom/>
      <diagonal/>
    </border>
    <border>
      <left style="thin">
        <color rgb="FFB2B2B2"/>
      </left>
      <right style="thin">
        <color rgb="FFB2B2B2"/>
      </right>
      <top style="thin">
        <color rgb="FFB2B2B2"/>
      </top>
      <bottom style="thin">
        <color rgb="FFB2B2B2"/>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right/>
      <top/>
      <bottom style="medium">
        <color rgb="FFC00000"/>
      </bottom>
      <diagonal/>
    </border>
    <border>
      <left/>
      <right/>
      <top style="medium">
        <color rgb="FFC00000"/>
      </top>
      <bottom/>
      <diagonal/>
    </border>
    <border>
      <left/>
      <right/>
      <top/>
      <bottom style="thin">
        <color rgb="FFC00000"/>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thin">
        <color rgb="FFC00000"/>
      </left>
      <right/>
      <top/>
      <bottom style="thin">
        <color rgb="FFC00000"/>
      </bottom>
      <diagonal/>
    </border>
    <border>
      <left/>
      <right style="thin">
        <color rgb="FFC00000"/>
      </right>
      <top/>
      <bottom style="thin">
        <color rgb="FFC00000"/>
      </bottom>
      <diagonal/>
    </border>
    <border>
      <left/>
      <right/>
      <top/>
      <bottom style="thin">
        <color indexed="64"/>
      </bottom>
      <diagonal/>
    </border>
    <border>
      <left/>
      <right/>
      <top/>
      <bottom style="medium">
        <color theme="1"/>
      </bottom>
      <diagonal/>
    </border>
  </borders>
  <cellStyleXfs count="4">
    <xf numFmtId="0" fontId="0" fillId="0" borderId="0"/>
    <xf numFmtId="9" fontId="1" fillId="0" borderId="0" applyFont="0" applyFill="0" applyBorder="0" applyAlignment="0" applyProtection="0"/>
    <xf numFmtId="0" fontId="1" fillId="2" borderId="1" applyNumberFormat="0" applyFont="0" applyAlignment="0" applyProtection="0"/>
    <xf numFmtId="0" fontId="11" fillId="0" borderId="0" applyNumberFormat="0" applyFill="0" applyBorder="0" applyAlignment="0" applyProtection="0"/>
  </cellStyleXfs>
  <cellXfs count="214">
    <xf numFmtId="0" fontId="0" fillId="0" borderId="0" xfId="0"/>
    <xf numFmtId="0" fontId="0" fillId="0" borderId="0" xfId="0" applyProtection="1">
      <protection hidden="1"/>
    </xf>
    <xf numFmtId="0" fontId="0" fillId="0" borderId="0" xfId="0" applyAlignment="1" applyProtection="1">
      <alignment horizontal="center"/>
      <protection hidden="1"/>
    </xf>
    <xf numFmtId="2" fontId="0" fillId="0" borderId="0" xfId="0" applyNumberFormat="1" applyProtection="1">
      <protection hidden="1"/>
    </xf>
    <xf numFmtId="0" fontId="0" fillId="0" borderId="2" xfId="0" applyBorder="1" applyProtection="1">
      <protection hidden="1"/>
    </xf>
    <xf numFmtId="0" fontId="0" fillId="0" borderId="3" xfId="0" applyBorder="1" applyProtection="1">
      <protection hidden="1"/>
    </xf>
    <xf numFmtId="0" fontId="0" fillId="0" borderId="4" xfId="0" applyBorder="1" applyProtection="1">
      <protection hidden="1"/>
    </xf>
    <xf numFmtId="0" fontId="0" fillId="0" borderId="5" xfId="0" applyBorder="1" applyProtection="1">
      <protection hidden="1"/>
    </xf>
    <xf numFmtId="0" fontId="4" fillId="0" borderId="0" xfId="0" applyFont="1" applyAlignment="1" applyProtection="1">
      <alignment horizontal="right" vertical="center"/>
      <protection hidden="1"/>
    </xf>
    <xf numFmtId="0" fontId="0" fillId="0" borderId="6" xfId="0" applyBorder="1" applyProtection="1">
      <protection hidden="1"/>
    </xf>
    <xf numFmtId="0" fontId="0" fillId="0" borderId="0" xfId="0" applyAlignment="1" applyProtection="1">
      <alignment horizontal="right" vertical="center"/>
      <protection hidden="1"/>
    </xf>
    <xf numFmtId="0" fontId="0" fillId="0" borderId="7" xfId="0" applyBorder="1" applyProtection="1">
      <protection hidden="1"/>
    </xf>
    <xf numFmtId="0" fontId="0" fillId="0" borderId="7" xfId="0" applyBorder="1" applyAlignment="1" applyProtection="1">
      <alignment horizontal="right" vertical="center"/>
      <protection hidden="1"/>
    </xf>
    <xf numFmtId="0" fontId="3" fillId="0" borderId="0" xfId="0" applyFont="1" applyAlignment="1" applyProtection="1">
      <alignment horizontal="center"/>
      <protection hidden="1"/>
    </xf>
    <xf numFmtId="0" fontId="5" fillId="0" borderId="0" xfId="0" applyFont="1" applyAlignment="1" applyProtection="1">
      <alignment vertical="center" wrapText="1"/>
      <protection hidden="1"/>
    </xf>
    <xf numFmtId="0" fontId="7" fillId="0" borderId="0" xfId="0" applyFont="1" applyProtection="1">
      <protection hidden="1"/>
    </xf>
    <xf numFmtId="0" fontId="7" fillId="0" borderId="0" xfId="0" applyFont="1" applyAlignment="1" applyProtection="1">
      <alignment horizontal="right"/>
      <protection hidden="1"/>
    </xf>
    <xf numFmtId="2" fontId="7" fillId="0" borderId="0" xfId="0" applyNumberFormat="1" applyFont="1" applyProtection="1">
      <protection hidden="1"/>
    </xf>
    <xf numFmtId="0" fontId="5" fillId="0" borderId="0" xfId="0" applyFont="1" applyAlignment="1" applyProtection="1">
      <alignment vertical="center"/>
      <protection hidden="1"/>
    </xf>
    <xf numFmtId="0" fontId="0" fillId="0" borderId="0" xfId="0" applyAlignment="1" applyProtection="1">
      <alignment horizontal="right"/>
      <protection hidden="1"/>
    </xf>
    <xf numFmtId="0" fontId="4" fillId="0" borderId="0" xfId="0" applyFont="1" applyProtection="1">
      <protection hidden="1"/>
    </xf>
    <xf numFmtId="0" fontId="4" fillId="0" borderId="0" xfId="0" applyFont="1" applyAlignment="1" applyProtection="1">
      <alignment vertical="center"/>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14" fontId="0" fillId="0" borderId="0" xfId="0" applyNumberFormat="1" applyAlignment="1" applyProtection="1">
      <alignment vertical="center"/>
      <protection hidden="1"/>
    </xf>
    <xf numFmtId="14" fontId="0" fillId="0" borderId="0" xfId="0" applyNumberFormat="1" applyAlignment="1" applyProtection="1">
      <alignment horizontal="right" vertical="center"/>
      <protection hidden="1"/>
    </xf>
    <xf numFmtId="2" fontId="0" fillId="0" borderId="0" xfId="0" applyNumberFormat="1" applyAlignment="1" applyProtection="1">
      <alignment horizontal="right"/>
      <protection hidden="1"/>
    </xf>
    <xf numFmtId="1" fontId="0" fillId="0" borderId="0" xfId="0" applyNumberFormat="1" applyProtection="1">
      <protection hidden="1"/>
    </xf>
    <xf numFmtId="0" fontId="5" fillId="0" borderId="0" xfId="0" applyFont="1" applyProtection="1">
      <protection hidden="1"/>
    </xf>
    <xf numFmtId="0" fontId="9" fillId="0" borderId="0" xfId="0" applyFont="1" applyProtection="1">
      <protection hidden="1"/>
    </xf>
    <xf numFmtId="0" fontId="3" fillId="0" borderId="0" xfId="0" applyFont="1" applyAlignment="1" applyProtection="1">
      <alignment horizontal="right" vertical="center"/>
      <protection hidden="1"/>
    </xf>
    <xf numFmtId="0" fontId="3" fillId="0" borderId="0" xfId="0" applyFont="1" applyProtection="1">
      <protection hidden="1"/>
    </xf>
    <xf numFmtId="0" fontId="2" fillId="0" borderId="0" xfId="0" applyFont="1" applyProtection="1">
      <protection hidden="1"/>
    </xf>
    <xf numFmtId="0" fontId="5" fillId="0" borderId="6" xfId="0" applyFont="1" applyBorder="1" applyProtection="1">
      <protection hidden="1"/>
    </xf>
    <xf numFmtId="0" fontId="5" fillId="0" borderId="6" xfId="0" applyFont="1" applyBorder="1" applyAlignment="1" applyProtection="1">
      <alignment vertical="center"/>
      <protection hidden="1"/>
    </xf>
    <xf numFmtId="167" fontId="0" fillId="0" borderId="0" xfId="0" applyNumberFormat="1" applyProtection="1">
      <protection hidden="1"/>
    </xf>
    <xf numFmtId="167" fontId="0" fillId="0" borderId="0" xfId="0" applyNumberFormat="1" applyAlignment="1" applyProtection="1">
      <alignment horizontal="center"/>
      <protection hidden="1"/>
    </xf>
    <xf numFmtId="164" fontId="0" fillId="0" borderId="0" xfId="0" applyNumberFormat="1" applyAlignment="1" applyProtection="1">
      <alignment horizontal="center"/>
      <protection hidden="1"/>
    </xf>
    <xf numFmtId="0" fontId="0" fillId="0" borderId="0" xfId="0" applyAlignment="1" applyProtection="1">
      <alignment horizontal="left" vertical="center"/>
      <protection hidden="1"/>
    </xf>
    <xf numFmtId="0" fontId="3" fillId="0" borderId="0" xfId="0" applyFont="1" applyAlignment="1" applyProtection="1">
      <alignment horizontal="right"/>
      <protection hidden="1"/>
    </xf>
    <xf numFmtId="0" fontId="3" fillId="0" borderId="9" xfId="0" applyFont="1" applyBorder="1" applyProtection="1">
      <protection hidden="1"/>
    </xf>
    <xf numFmtId="0" fontId="0" fillId="0" borderId="9" xfId="0" applyBorder="1" applyProtection="1">
      <protection hidden="1"/>
    </xf>
    <xf numFmtId="0" fontId="0" fillId="0" borderId="6" xfId="0" applyBorder="1" applyAlignment="1" applyProtection="1">
      <alignment vertical="center"/>
      <protection hidden="1"/>
    </xf>
    <xf numFmtId="0" fontId="11" fillId="0" borderId="0" xfId="3" quotePrefix="1" applyBorder="1" applyProtection="1">
      <protection hidden="1"/>
    </xf>
    <xf numFmtId="0" fontId="0" fillId="0" borderId="16" xfId="0" applyBorder="1" applyProtection="1">
      <protection hidden="1"/>
    </xf>
    <xf numFmtId="0" fontId="12" fillId="0" borderId="9" xfId="0" applyFont="1" applyBorder="1" applyProtection="1">
      <protection hidden="1"/>
    </xf>
    <xf numFmtId="0" fontId="0" fillId="0" borderId="17" xfId="0" applyBorder="1" applyProtection="1">
      <protection hidden="1"/>
    </xf>
    <xf numFmtId="0" fontId="0" fillId="0" borderId="0" xfId="0" applyAlignment="1" applyProtection="1">
      <alignment vertical="top"/>
      <protection hidden="1"/>
    </xf>
    <xf numFmtId="0" fontId="13" fillId="0" borderId="0" xfId="0" applyFont="1" applyProtection="1">
      <protection hidden="1"/>
    </xf>
    <xf numFmtId="2" fontId="3" fillId="0" borderId="0" xfId="0" applyNumberFormat="1" applyFont="1" applyProtection="1">
      <protection hidden="1"/>
    </xf>
    <xf numFmtId="2" fontId="9" fillId="0" borderId="0" xfId="0" applyNumberFormat="1" applyFont="1" applyProtection="1">
      <protection hidden="1"/>
    </xf>
    <xf numFmtId="2" fontId="4" fillId="0" borderId="0" xfId="0" applyNumberFormat="1" applyFont="1" applyProtection="1">
      <protection hidden="1"/>
    </xf>
    <xf numFmtId="9" fontId="4" fillId="0" borderId="0" xfId="1" applyFont="1" applyAlignment="1" applyProtection="1">
      <protection hidden="1"/>
    </xf>
    <xf numFmtId="165" fontId="0" fillId="0" borderId="0" xfId="0" applyNumberFormat="1" applyProtection="1">
      <protection hidden="1"/>
    </xf>
    <xf numFmtId="0" fontId="14" fillId="0" borderId="0" xfId="0" applyFont="1" applyAlignment="1" applyProtection="1">
      <alignment vertical="center"/>
      <protection hidden="1"/>
    </xf>
    <xf numFmtId="0" fontId="2" fillId="0" borderId="0" xfId="0" applyFont="1" applyAlignment="1" applyProtection="1">
      <alignment horizontal="right"/>
      <protection hidden="1"/>
    </xf>
    <xf numFmtId="165" fontId="2" fillId="0" borderId="0" xfId="0" applyNumberFormat="1" applyFont="1" applyProtection="1">
      <protection hidden="1"/>
    </xf>
    <xf numFmtId="1" fontId="2" fillId="0" borderId="0" xfId="0" applyNumberFormat="1" applyFont="1" applyProtection="1">
      <protection hidden="1"/>
    </xf>
    <xf numFmtId="0" fontId="8" fillId="0" borderId="0" xfId="0" applyFont="1" applyAlignment="1" applyProtection="1">
      <alignment vertical="center" wrapText="1"/>
      <protection hidden="1"/>
    </xf>
    <xf numFmtId="165" fontId="9" fillId="0" borderId="0" xfId="1" applyNumberFormat="1" applyFont="1" applyAlignment="1" applyProtection="1">
      <protection hidden="1"/>
    </xf>
    <xf numFmtId="1" fontId="9" fillId="0" borderId="0" xfId="0" applyNumberFormat="1" applyFont="1" applyProtection="1">
      <protection hidden="1"/>
    </xf>
    <xf numFmtId="165" fontId="9" fillId="0" borderId="0" xfId="0" applyNumberFormat="1" applyFont="1" applyProtection="1">
      <protection hidden="1"/>
    </xf>
    <xf numFmtId="169" fontId="2" fillId="0" borderId="0" xfId="0" applyNumberFormat="1" applyFont="1" applyProtection="1">
      <protection hidden="1"/>
    </xf>
    <xf numFmtId="1" fontId="2" fillId="0" borderId="0" xfId="1" applyNumberFormat="1" applyFont="1" applyAlignment="1" applyProtection="1">
      <protection hidden="1"/>
    </xf>
    <xf numFmtId="0" fontId="22" fillId="0" borderId="7" xfId="0" applyFont="1" applyBorder="1" applyProtection="1">
      <protection hidden="1"/>
    </xf>
    <xf numFmtId="0" fontId="3" fillId="4" borderId="0" xfId="0" applyFont="1" applyFill="1" applyProtection="1">
      <protection hidden="1"/>
    </xf>
    <xf numFmtId="0" fontId="0" fillId="4" borderId="0" xfId="0" applyFill="1" applyProtection="1">
      <protection hidden="1"/>
    </xf>
    <xf numFmtId="0" fontId="7" fillId="4" borderId="0" xfId="0" applyFont="1" applyFill="1" applyProtection="1">
      <protection hidden="1"/>
    </xf>
    <xf numFmtId="0" fontId="23" fillId="0" borderId="0" xfId="0" applyFont="1" applyProtection="1">
      <protection hidden="1"/>
    </xf>
    <xf numFmtId="0" fontId="25" fillId="0" borderId="0" xfId="0" applyFont="1" applyProtection="1">
      <protection hidden="1"/>
    </xf>
    <xf numFmtId="165" fontId="9" fillId="0" borderId="0" xfId="0" applyNumberFormat="1" applyFont="1" applyAlignment="1" applyProtection="1">
      <alignment horizontal="center"/>
      <protection hidden="1"/>
    </xf>
    <xf numFmtId="0" fontId="0" fillId="0" borderId="7" xfId="0" quotePrefix="1" applyBorder="1" applyAlignment="1" applyProtection="1">
      <alignment horizontal="right" vertical="center"/>
      <protection hidden="1"/>
    </xf>
    <xf numFmtId="0" fontId="27" fillId="0" borderId="0" xfId="0" applyFont="1" applyProtection="1">
      <protection hidden="1"/>
    </xf>
    <xf numFmtId="20" fontId="27" fillId="0" borderId="0" xfId="0" applyNumberFormat="1" applyFont="1" applyProtection="1">
      <protection hidden="1"/>
    </xf>
    <xf numFmtId="168" fontId="0" fillId="0" borderId="0" xfId="0" applyNumberFormat="1" applyProtection="1">
      <protection hidden="1"/>
    </xf>
    <xf numFmtId="0" fontId="31" fillId="0" borderId="0" xfId="0" applyFont="1" applyProtection="1">
      <protection hidden="1"/>
    </xf>
    <xf numFmtId="0" fontId="32" fillId="0" borderId="0" xfId="0" applyFont="1" applyProtection="1">
      <protection hidden="1"/>
    </xf>
    <xf numFmtId="0" fontId="29" fillId="0" borderId="0" xfId="0" applyFont="1" applyAlignment="1" applyProtection="1">
      <alignment vertical="center" wrapText="1"/>
      <protection hidden="1"/>
    </xf>
    <xf numFmtId="165" fontId="31" fillId="0" borderId="0" xfId="1" applyNumberFormat="1" applyFont="1" applyAlignment="1" applyProtection="1">
      <protection hidden="1"/>
    </xf>
    <xf numFmtId="1" fontId="31" fillId="0" borderId="0" xfId="0" applyNumberFormat="1" applyFont="1" applyProtection="1">
      <protection hidden="1"/>
    </xf>
    <xf numFmtId="0" fontId="28" fillId="0" borderId="0" xfId="0" applyFont="1" applyAlignment="1" applyProtection="1">
      <alignment vertical="center"/>
      <protection hidden="1"/>
    </xf>
    <xf numFmtId="0" fontId="34" fillId="0" borderId="9" xfId="0" applyFont="1" applyBorder="1" applyAlignment="1" applyProtection="1">
      <alignment vertical="top" wrapText="1"/>
      <protection hidden="1"/>
    </xf>
    <xf numFmtId="0" fontId="35" fillId="0" borderId="9" xfId="0" applyFont="1" applyBorder="1" applyProtection="1">
      <protection hidden="1"/>
    </xf>
    <xf numFmtId="0" fontId="35" fillId="0" borderId="9" xfId="0" applyFont="1" applyBorder="1" applyAlignment="1" applyProtection="1">
      <alignment vertical="top" wrapText="1"/>
      <protection hidden="1"/>
    </xf>
    <xf numFmtId="0" fontId="3" fillId="0" borderId="18" xfId="0" applyFont="1" applyBorder="1" applyProtection="1">
      <protection hidden="1"/>
    </xf>
    <xf numFmtId="0" fontId="0" fillId="0" borderId="18" xfId="0" applyBorder="1" applyProtection="1">
      <protection hidden="1"/>
    </xf>
    <xf numFmtId="0" fontId="33" fillId="0" borderId="0" xfId="0" applyFont="1" applyProtection="1">
      <protection hidden="1"/>
    </xf>
    <xf numFmtId="0" fontId="0" fillId="0" borderId="0" xfId="0" applyAlignment="1" applyProtection="1">
      <alignment wrapText="1"/>
      <protection hidden="1"/>
    </xf>
    <xf numFmtId="0" fontId="36" fillId="0" borderId="0" xfId="0" applyFont="1" applyAlignment="1">
      <alignment vertical="top" wrapText="1"/>
    </xf>
    <xf numFmtId="0" fontId="0" fillId="0" borderId="0" xfId="0" applyAlignment="1" applyProtection="1">
      <alignment vertical="top" wrapText="1"/>
      <protection hidden="1"/>
    </xf>
    <xf numFmtId="0" fontId="0" fillId="0" borderId="6" xfId="0" applyBorder="1" applyAlignment="1" applyProtection="1">
      <alignment vertical="top" wrapText="1"/>
      <protection hidden="1"/>
    </xf>
    <xf numFmtId="0" fontId="33" fillId="0" borderId="0" xfId="0" applyFont="1" applyAlignment="1" applyProtection="1">
      <alignment horizontal="right"/>
      <protection hidden="1"/>
    </xf>
    <xf numFmtId="0" fontId="5" fillId="0" borderId="8" xfId="0" applyFont="1" applyBorder="1" applyAlignment="1" applyProtection="1">
      <alignment vertical="center" wrapText="1"/>
      <protection hidden="1"/>
    </xf>
    <xf numFmtId="2" fontId="0" fillId="0" borderId="0" xfId="0" applyNumberFormat="1" applyAlignment="1" applyProtection="1">
      <alignment horizontal="center"/>
      <protection hidden="1"/>
    </xf>
    <xf numFmtId="1" fontId="0" fillId="0" borderId="0" xfId="0" applyNumberFormat="1" applyAlignment="1" applyProtection="1">
      <alignment horizontal="center"/>
      <protection hidden="1"/>
    </xf>
    <xf numFmtId="0" fontId="28" fillId="0" borderId="0" xfId="0" applyFont="1" applyAlignment="1" applyProtection="1">
      <alignment horizontal="center" vertical="center"/>
      <protection hidden="1"/>
    </xf>
    <xf numFmtId="0" fontId="0" fillId="0" borderId="0" xfId="0" applyAlignment="1">
      <alignment horizontal="center" vertical="center"/>
    </xf>
    <xf numFmtId="0" fontId="36" fillId="0" borderId="0" xfId="0" applyFont="1" applyAlignment="1">
      <alignment horizontal="left" vertical="top" wrapText="1"/>
    </xf>
    <xf numFmtId="165" fontId="0" fillId="0" borderId="0" xfId="0" applyNumberFormat="1" applyAlignment="1" applyProtection="1">
      <alignment horizontal="center"/>
      <protection hidden="1"/>
    </xf>
    <xf numFmtId="9" fontId="0" fillId="0" borderId="0" xfId="1" applyFont="1" applyAlignment="1" applyProtection="1">
      <alignment horizontal="center"/>
      <protection hidden="1"/>
    </xf>
    <xf numFmtId="0" fontId="0" fillId="0" borderId="0" xfId="0" applyAlignment="1" applyProtection="1">
      <alignment horizontal="center"/>
      <protection hidden="1"/>
    </xf>
    <xf numFmtId="0" fontId="3" fillId="0" borderId="0" xfId="0" applyFont="1" applyAlignment="1" applyProtection="1">
      <alignment horizontal="center"/>
      <protection hidden="1"/>
    </xf>
    <xf numFmtId="0" fontId="3" fillId="0" borderId="0" xfId="0" applyFont="1" applyAlignment="1" applyProtection="1">
      <alignment horizontal="center" wrapText="1"/>
      <protection hidden="1"/>
    </xf>
    <xf numFmtId="9" fontId="1" fillId="0" borderId="0" xfId="1" applyFont="1" applyAlignment="1" applyProtection="1">
      <alignment horizontal="center"/>
      <protection hidden="1"/>
    </xf>
    <xf numFmtId="0" fontId="5" fillId="0" borderId="0" xfId="0" applyFont="1" applyAlignment="1" applyProtection="1">
      <alignment horizontal="center" vertical="center"/>
      <protection hidden="1"/>
    </xf>
    <xf numFmtId="0" fontId="23" fillId="0" borderId="0" xfId="0" applyFont="1" applyAlignment="1" applyProtection="1">
      <alignment horizontal="center"/>
      <protection hidden="1"/>
    </xf>
    <xf numFmtId="0" fontId="5" fillId="0" borderId="9" xfId="0" applyFont="1" applyBorder="1" applyAlignment="1" applyProtection="1">
      <alignment horizontal="center"/>
      <protection hidden="1"/>
    </xf>
    <xf numFmtId="0" fontId="7" fillId="4" borderId="0" xfId="0" applyFont="1" applyFill="1" applyAlignment="1" applyProtection="1">
      <alignment horizontal="left"/>
      <protection hidden="1"/>
    </xf>
    <xf numFmtId="1" fontId="0" fillId="3" borderId="1" xfId="1" applyNumberFormat="1" applyFont="1" applyFill="1" applyBorder="1" applyAlignment="1" applyProtection="1">
      <alignment horizontal="center" vertical="center"/>
      <protection locked="0"/>
    </xf>
    <xf numFmtId="166" fontId="0" fillId="0" borderId="0" xfId="0" applyNumberFormat="1" applyAlignment="1" applyProtection="1">
      <alignment horizontal="center"/>
      <protection hidden="1"/>
    </xf>
    <xf numFmtId="2" fontId="0" fillId="0" borderId="0" xfId="0" applyNumberFormat="1" applyAlignment="1" applyProtection="1">
      <alignment horizontal="right"/>
      <protection hidden="1"/>
    </xf>
    <xf numFmtId="165" fontId="0" fillId="0" borderId="0" xfId="1" applyNumberFormat="1" applyFont="1" applyAlignment="1" applyProtection="1">
      <alignment horizontal="center"/>
      <protection hidden="1"/>
    </xf>
    <xf numFmtId="2" fontId="20" fillId="0" borderId="0" xfId="0" applyNumberFormat="1" applyFont="1" applyAlignment="1" applyProtection="1">
      <alignment horizontal="right"/>
      <protection hidden="1"/>
    </xf>
    <xf numFmtId="1" fontId="0" fillId="0" borderId="0" xfId="0" applyNumberFormat="1" applyAlignment="1" applyProtection="1">
      <alignment horizontal="right"/>
      <protection hidden="1"/>
    </xf>
    <xf numFmtId="164" fontId="0" fillId="0" borderId="0" xfId="0" applyNumberFormat="1" applyAlignment="1" applyProtection="1">
      <alignment horizontal="right"/>
      <protection hidden="1"/>
    </xf>
    <xf numFmtId="2" fontId="3" fillId="0" borderId="0" xfId="0" applyNumberFormat="1" applyFont="1" applyAlignment="1" applyProtection="1">
      <alignment horizontal="right" wrapText="1"/>
      <protection hidden="1"/>
    </xf>
    <xf numFmtId="1" fontId="0" fillId="0" borderId="0" xfId="0" applyNumberFormat="1" applyAlignment="1" applyProtection="1">
      <alignment horizontal="center" vertical="center"/>
      <protection hidden="1"/>
    </xf>
    <xf numFmtId="0" fontId="0" fillId="3" borderId="1" xfId="2" applyFont="1" applyFill="1" applyAlignment="1" applyProtection="1">
      <alignment horizontal="center" vertical="center"/>
      <protection locked="0"/>
    </xf>
    <xf numFmtId="0" fontId="7" fillId="0" borderId="0" xfId="0" applyFont="1" applyAlignment="1" applyProtection="1">
      <alignment horizontal="center"/>
      <protection hidden="1"/>
    </xf>
    <xf numFmtId="0" fontId="0" fillId="4" borderId="0" xfId="0" applyFill="1" applyAlignment="1" applyProtection="1">
      <alignment horizontal="center"/>
      <protection hidden="1"/>
    </xf>
    <xf numFmtId="0" fontId="7" fillId="4" borderId="0" xfId="0" applyFont="1" applyFill="1" applyAlignment="1" applyProtection="1">
      <alignment horizontal="center"/>
      <protection hidden="1"/>
    </xf>
    <xf numFmtId="0" fontId="33" fillId="0" borderId="0" xfId="0" applyFont="1" applyAlignment="1" applyProtection="1">
      <alignment horizontal="right" vertical="center"/>
      <protection hidden="1"/>
    </xf>
    <xf numFmtId="9" fontId="4" fillId="0" borderId="0" xfId="1" applyFont="1" applyAlignment="1" applyProtection="1">
      <alignment horizontal="center"/>
      <protection hidden="1"/>
    </xf>
    <xf numFmtId="164" fontId="0" fillId="5" borderId="1" xfId="2" applyNumberFormat="1" applyFont="1" applyFill="1" applyAlignment="1" applyProtection="1">
      <alignment horizontal="center"/>
      <protection hidden="1"/>
    </xf>
    <xf numFmtId="0" fontId="26" fillId="0" borderId="0" xfId="0" applyFont="1" applyAlignment="1" applyProtection="1">
      <alignment horizontal="left" vertical="top" wrapText="1"/>
      <protection hidden="1"/>
    </xf>
    <xf numFmtId="165" fontId="2" fillId="0" borderId="0" xfId="0" applyNumberFormat="1" applyFont="1" applyAlignment="1" applyProtection="1">
      <alignment horizontal="center"/>
      <protection hidden="1"/>
    </xf>
    <xf numFmtId="165" fontId="4" fillId="0" borderId="0" xfId="0" applyNumberFormat="1" applyFont="1" applyAlignment="1" applyProtection="1">
      <alignment horizontal="center"/>
      <protection hidden="1"/>
    </xf>
    <xf numFmtId="165" fontId="31" fillId="0" borderId="0" xfId="0" applyNumberFormat="1" applyFont="1" applyAlignment="1" applyProtection="1">
      <alignment horizontal="center"/>
      <protection hidden="1"/>
    </xf>
    <xf numFmtId="0" fontId="0" fillId="3" borderId="10" xfId="2" applyFont="1" applyFill="1" applyBorder="1" applyAlignment="1" applyProtection="1">
      <alignment horizontal="center" vertical="center"/>
      <protection locked="0"/>
    </xf>
    <xf numFmtId="0" fontId="0" fillId="3" borderId="11" xfId="2" applyFont="1" applyFill="1" applyBorder="1" applyAlignment="1" applyProtection="1">
      <alignment horizontal="center" vertical="center"/>
      <protection locked="0"/>
    </xf>
    <xf numFmtId="0" fontId="0" fillId="3" borderId="12" xfId="2" applyFont="1" applyFill="1" applyBorder="1" applyAlignment="1" applyProtection="1">
      <alignment horizontal="center" vertical="center"/>
      <protection locked="0"/>
    </xf>
    <xf numFmtId="164" fontId="2" fillId="0" borderId="0" xfId="0" applyNumberFormat="1" applyFont="1" applyAlignment="1" applyProtection="1">
      <alignment horizontal="center"/>
      <protection hidden="1"/>
    </xf>
    <xf numFmtId="164" fontId="4" fillId="0" borderId="0" xfId="0" applyNumberFormat="1" applyFont="1" applyAlignment="1" applyProtection="1">
      <alignment horizontal="center"/>
      <protection hidden="1"/>
    </xf>
    <xf numFmtId="0" fontId="31" fillId="0" borderId="0" xfId="0" applyFont="1" applyAlignment="1" applyProtection="1">
      <alignment horizontal="center"/>
      <protection hidden="1"/>
    </xf>
    <xf numFmtId="167" fontId="4" fillId="0" borderId="0" xfId="0" applyNumberFormat="1" applyFont="1" applyAlignment="1" applyProtection="1">
      <alignment horizontal="center"/>
      <protection hidden="1"/>
    </xf>
    <xf numFmtId="166" fontId="0" fillId="4" borderId="0" xfId="0" applyNumberFormat="1" applyFill="1" applyAlignment="1" applyProtection="1">
      <alignment horizontal="center"/>
      <protection hidden="1"/>
    </xf>
    <xf numFmtId="165" fontId="31" fillId="0" borderId="0" xfId="1" applyNumberFormat="1" applyFont="1" applyAlignment="1" applyProtection="1">
      <alignment horizontal="center"/>
      <protection hidden="1"/>
    </xf>
    <xf numFmtId="9" fontId="2" fillId="0" borderId="0" xfId="0" applyNumberFormat="1" applyFont="1" applyAlignment="1" applyProtection="1">
      <alignment horizontal="center"/>
      <protection hidden="1"/>
    </xf>
    <xf numFmtId="1" fontId="2" fillId="0" borderId="0" xfId="1" applyNumberFormat="1" applyFont="1" applyAlignment="1" applyProtection="1">
      <alignment horizontal="center"/>
      <protection hidden="1"/>
    </xf>
    <xf numFmtId="1" fontId="4" fillId="0" borderId="0" xfId="0" applyNumberFormat="1" applyFont="1" applyAlignment="1" applyProtection="1">
      <alignment horizontal="center"/>
      <protection hidden="1"/>
    </xf>
    <xf numFmtId="1" fontId="31" fillId="0" borderId="0" xfId="0" applyNumberFormat="1" applyFont="1" applyAlignment="1" applyProtection="1">
      <alignment horizontal="center"/>
      <protection hidden="1"/>
    </xf>
    <xf numFmtId="2" fontId="2" fillId="0" borderId="3" xfId="0" applyNumberFormat="1" applyFont="1" applyBorder="1" applyAlignment="1" applyProtection="1">
      <alignment horizontal="center"/>
      <protection hidden="1"/>
    </xf>
    <xf numFmtId="2" fontId="31" fillId="0" borderId="3" xfId="0" applyNumberFormat="1" applyFont="1" applyBorder="1" applyAlignment="1" applyProtection="1">
      <alignment horizontal="center"/>
      <protection hidden="1"/>
    </xf>
    <xf numFmtId="0" fontId="31" fillId="0" borderId="3" xfId="0" applyFont="1" applyBorder="1" applyAlignment="1" applyProtection="1">
      <alignment horizontal="center"/>
      <protection hidden="1"/>
    </xf>
    <xf numFmtId="0" fontId="8" fillId="0" borderId="0" xfId="0" applyFont="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0" fontId="29" fillId="0" borderId="9" xfId="0" applyFont="1" applyBorder="1" applyAlignment="1" applyProtection="1">
      <alignment horizontal="center" vertical="center" wrapText="1"/>
      <protection hidden="1"/>
    </xf>
    <xf numFmtId="0" fontId="5" fillId="0" borderId="0" xfId="0" applyFont="1" applyAlignment="1" applyProtection="1">
      <alignment horizontal="center" wrapText="1"/>
      <protection hidden="1"/>
    </xf>
    <xf numFmtId="0" fontId="5" fillId="0" borderId="0" xfId="0" applyFont="1" applyAlignment="1" applyProtection="1">
      <alignment horizontal="center"/>
      <protection hidden="1"/>
    </xf>
    <xf numFmtId="2" fontId="3" fillId="0" borderId="0" xfId="0" applyNumberFormat="1" applyFont="1" applyAlignment="1" applyProtection="1">
      <alignment horizontal="center"/>
      <protection hidden="1"/>
    </xf>
    <xf numFmtId="0" fontId="5" fillId="0" borderId="8"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165" fontId="7" fillId="0" borderId="0" xfId="1" applyNumberFormat="1" applyFont="1" applyAlignment="1" applyProtection="1">
      <alignment horizontal="center"/>
      <protection hidden="1"/>
    </xf>
    <xf numFmtId="0" fontId="0" fillId="3" borderId="1" xfId="2" applyFont="1" applyFill="1" applyAlignment="1" applyProtection="1">
      <alignment horizontal="left" vertical="center"/>
      <protection locked="0"/>
    </xf>
    <xf numFmtId="0" fontId="0" fillId="3" borderId="1" xfId="2" applyFont="1" applyFill="1" applyAlignment="1" applyProtection="1">
      <alignment horizontal="left" vertical="center" indent="1"/>
      <protection locked="0"/>
    </xf>
    <xf numFmtId="0" fontId="0" fillId="3" borderId="10" xfId="2" applyFont="1" applyFill="1" applyBorder="1" applyAlignment="1" applyProtection="1">
      <alignment horizontal="left" vertical="center" indent="1"/>
      <protection locked="0"/>
    </xf>
    <xf numFmtId="0" fontId="0" fillId="3" borderId="11" xfId="2" applyFont="1" applyFill="1" applyBorder="1" applyAlignment="1" applyProtection="1">
      <alignment horizontal="left" vertical="center" indent="1"/>
      <protection locked="0"/>
    </xf>
    <xf numFmtId="0" fontId="0" fillId="3" borderId="12" xfId="2" applyFont="1" applyFill="1" applyBorder="1" applyAlignment="1" applyProtection="1">
      <alignment horizontal="left" vertical="center" indent="1"/>
      <protection locked="0"/>
    </xf>
    <xf numFmtId="165" fontId="4" fillId="0" borderId="0" xfId="1" applyNumberFormat="1" applyFont="1" applyAlignment="1" applyProtection="1">
      <alignment horizontal="center"/>
      <protection hidden="1"/>
    </xf>
    <xf numFmtId="169" fontId="2" fillId="0" borderId="3" xfId="0" applyNumberFormat="1" applyFont="1" applyBorder="1" applyAlignment="1" applyProtection="1">
      <alignment horizontal="center"/>
      <protection hidden="1"/>
    </xf>
    <xf numFmtId="0" fontId="4" fillId="0" borderId="3" xfId="0" applyFont="1" applyBorder="1" applyAlignment="1" applyProtection="1">
      <alignment horizontal="center"/>
      <protection hidden="1"/>
    </xf>
    <xf numFmtId="1" fontId="2" fillId="0" borderId="0" xfId="0" applyNumberFormat="1" applyFont="1" applyAlignment="1" applyProtection="1">
      <alignment horizontal="center"/>
      <protection hidden="1"/>
    </xf>
    <xf numFmtId="0" fontId="3" fillId="0" borderId="19" xfId="0" applyFont="1" applyBorder="1" applyAlignment="1" applyProtection="1">
      <alignment horizontal="left"/>
      <protection hidden="1"/>
    </xf>
    <xf numFmtId="2" fontId="31" fillId="0" borderId="0" xfId="1" applyNumberFormat="1" applyFont="1" applyAlignment="1" applyProtection="1">
      <alignment horizontal="center"/>
      <protection hidden="1"/>
    </xf>
    <xf numFmtId="164" fontId="1" fillId="3" borderId="13" xfId="2" applyNumberFormat="1" applyFont="1" applyFill="1" applyBorder="1" applyAlignment="1" applyProtection="1">
      <alignment horizontal="center" vertical="center"/>
      <protection hidden="1"/>
    </xf>
    <xf numFmtId="164" fontId="1" fillId="3" borderId="14" xfId="2" applyNumberFormat="1" applyFont="1" applyFill="1" applyBorder="1" applyAlignment="1" applyProtection="1">
      <alignment horizontal="center" vertical="center"/>
      <protection hidden="1"/>
    </xf>
    <xf numFmtId="164" fontId="1" fillId="3" borderId="15" xfId="2" applyNumberFormat="1" applyFont="1" applyFill="1" applyBorder="1" applyAlignment="1" applyProtection="1">
      <alignment horizontal="center" vertical="center"/>
      <protection hidden="1"/>
    </xf>
    <xf numFmtId="0" fontId="37" fillId="0" borderId="0" xfId="0" applyFont="1" applyAlignment="1" applyProtection="1">
      <alignment horizontal="center" vertical="center" wrapText="1"/>
      <protection hidden="1"/>
    </xf>
    <xf numFmtId="2" fontId="0" fillId="0" borderId="9" xfId="0" applyNumberFormat="1" applyBorder="1" applyAlignment="1" applyProtection="1">
      <alignment horizontal="center"/>
      <protection hidden="1"/>
    </xf>
    <xf numFmtId="2" fontId="0" fillId="0" borderId="3" xfId="0" applyNumberFormat="1" applyBorder="1" applyAlignment="1" applyProtection="1">
      <alignment horizontal="center"/>
      <protection hidden="1"/>
    </xf>
    <xf numFmtId="0" fontId="3" fillId="0" borderId="0" xfId="0" applyFont="1" applyAlignment="1" applyProtection="1">
      <alignment horizontal="center" vertical="center" wrapText="1"/>
      <protection hidden="1"/>
    </xf>
    <xf numFmtId="0" fontId="3" fillId="0" borderId="9" xfId="0" applyFont="1" applyBorder="1" applyAlignment="1" applyProtection="1">
      <alignment horizontal="center" vertical="center" wrapText="1"/>
      <protection hidden="1"/>
    </xf>
    <xf numFmtId="164" fontId="0" fillId="0" borderId="0" xfId="0" applyNumberFormat="1" applyAlignment="1" applyProtection="1">
      <alignment horizontal="center"/>
      <protection hidden="1"/>
    </xf>
    <xf numFmtId="0" fontId="33" fillId="0" borderId="0" xfId="0" applyFont="1" applyAlignment="1" applyProtection="1">
      <alignment horizontal="center"/>
      <protection hidden="1"/>
    </xf>
    <xf numFmtId="0" fontId="0" fillId="0" borderId="19" xfId="0" applyBorder="1" applyAlignment="1" applyProtection="1">
      <alignment horizontal="left"/>
      <protection hidden="1"/>
    </xf>
    <xf numFmtId="0" fontId="2" fillId="0" borderId="0" xfId="0" applyFont="1" applyAlignment="1" applyProtection="1">
      <alignment horizontal="center"/>
      <protection hidden="1"/>
    </xf>
    <xf numFmtId="165" fontId="9" fillId="0" borderId="0" xfId="0" applyNumberFormat="1" applyFont="1" applyAlignment="1" applyProtection="1">
      <alignment horizontal="center"/>
      <protection hidden="1"/>
    </xf>
    <xf numFmtId="0" fontId="9" fillId="0" borderId="0" xfId="0" applyFont="1" applyAlignment="1" applyProtection="1">
      <alignment horizontal="center"/>
      <protection hidden="1"/>
    </xf>
    <xf numFmtId="1" fontId="9" fillId="0" borderId="0" xfId="0" applyNumberFormat="1" applyFont="1" applyAlignment="1" applyProtection="1">
      <alignment horizontal="center"/>
      <protection hidden="1"/>
    </xf>
    <xf numFmtId="165" fontId="9" fillId="0" borderId="0" xfId="1" applyNumberFormat="1" applyFont="1" applyAlignment="1" applyProtection="1">
      <alignment horizontal="center"/>
      <protection hidden="1"/>
    </xf>
    <xf numFmtId="164" fontId="2" fillId="0" borderId="3" xfId="0" applyNumberFormat="1" applyFont="1" applyBorder="1" applyAlignment="1" applyProtection="1">
      <alignment horizontal="center"/>
      <protection hidden="1"/>
    </xf>
    <xf numFmtId="165" fontId="32" fillId="0" borderId="0" xfId="0" applyNumberFormat="1" applyFont="1" applyAlignment="1" applyProtection="1">
      <alignment horizontal="center"/>
      <protection hidden="1"/>
    </xf>
    <xf numFmtId="0" fontId="32" fillId="0" borderId="0" xfId="0" applyFont="1" applyAlignment="1" applyProtection="1">
      <alignment horizontal="center"/>
      <protection hidden="1"/>
    </xf>
    <xf numFmtId="0" fontId="4" fillId="0" borderId="0" xfId="0" applyFont="1" applyAlignment="1" applyProtection="1">
      <alignment horizontal="center"/>
      <protection hidden="1"/>
    </xf>
    <xf numFmtId="2" fontId="32" fillId="0" borderId="0" xfId="0" applyNumberFormat="1" applyFont="1" applyAlignment="1" applyProtection="1">
      <alignment horizontal="center"/>
      <protection hidden="1"/>
    </xf>
    <xf numFmtId="2" fontId="4" fillId="0" borderId="0" xfId="0" applyNumberFormat="1" applyFont="1" applyAlignment="1" applyProtection="1">
      <alignment horizontal="center"/>
      <protection hidden="1"/>
    </xf>
    <xf numFmtId="1" fontId="32" fillId="0" borderId="0" xfId="1" applyNumberFormat="1" applyFont="1" applyAlignment="1" applyProtection="1">
      <alignment horizontal="center"/>
      <protection hidden="1"/>
    </xf>
    <xf numFmtId="164" fontId="32" fillId="0" borderId="0" xfId="0" applyNumberFormat="1" applyFont="1" applyAlignment="1" applyProtection="1">
      <alignment horizontal="center"/>
      <protection hidden="1"/>
    </xf>
    <xf numFmtId="0" fontId="7" fillId="0" borderId="0" xfId="0" applyFont="1" applyAlignment="1" applyProtection="1">
      <alignment horizontal="left"/>
      <protection hidden="1"/>
    </xf>
    <xf numFmtId="0" fontId="9" fillId="0" borderId="3" xfId="0" applyFont="1" applyBorder="1" applyAlignment="1" applyProtection="1">
      <alignment horizontal="left" vertical="top" wrapText="1"/>
      <protection hidden="1"/>
    </xf>
    <xf numFmtId="0" fontId="9"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9" fillId="0" borderId="3" xfId="0" applyFont="1" applyBorder="1" applyAlignment="1" applyProtection="1">
      <alignment horizontal="center"/>
      <protection hidden="1"/>
    </xf>
    <xf numFmtId="165" fontId="2" fillId="0" borderId="0" xfId="1" applyNumberFormat="1" applyFont="1" applyAlignment="1" applyProtection="1">
      <alignment horizontal="center"/>
      <protection hidden="1"/>
    </xf>
    <xf numFmtId="2" fontId="2" fillId="0" borderId="0" xfId="0" applyNumberFormat="1" applyFont="1" applyAlignment="1" applyProtection="1">
      <alignment horizontal="center"/>
      <protection hidden="1"/>
    </xf>
    <xf numFmtId="0" fontId="0" fillId="0" borderId="0" xfId="0" applyAlignment="1" applyProtection="1">
      <alignment horizontal="right" vertical="center"/>
      <protection hidden="1"/>
    </xf>
    <xf numFmtId="1" fontId="32" fillId="0" borderId="0" xfId="0" applyNumberFormat="1" applyFont="1" applyAlignment="1" applyProtection="1">
      <alignment horizontal="center"/>
      <protection hidden="1"/>
    </xf>
    <xf numFmtId="1" fontId="33" fillId="0" borderId="0" xfId="0" applyNumberFormat="1" applyFont="1" applyAlignment="1" applyProtection="1">
      <alignment horizontal="center"/>
      <protection hidden="1"/>
    </xf>
    <xf numFmtId="0" fontId="2" fillId="0" borderId="0" xfId="0" applyFont="1" applyAlignment="1" applyProtection="1">
      <alignment horizontal="right"/>
      <protection hidden="1"/>
    </xf>
    <xf numFmtId="164" fontId="32" fillId="0" borderId="3" xfId="0" applyNumberFormat="1" applyFont="1" applyBorder="1" applyAlignment="1" applyProtection="1">
      <alignment horizontal="center"/>
      <protection hidden="1"/>
    </xf>
    <xf numFmtId="165" fontId="0" fillId="0" borderId="0" xfId="1" applyNumberFormat="1" applyFont="1" applyFill="1" applyAlignment="1" applyProtection="1">
      <alignment horizontal="center"/>
      <protection hidden="1"/>
    </xf>
    <xf numFmtId="0" fontId="5" fillId="0" borderId="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2" fontId="32" fillId="0" borderId="3" xfId="0" applyNumberFormat="1" applyFont="1" applyBorder="1" applyAlignment="1" applyProtection="1">
      <alignment horizontal="center"/>
      <protection hidden="1"/>
    </xf>
    <xf numFmtId="2" fontId="4" fillId="0" borderId="3" xfId="0" applyNumberFormat="1" applyFont="1" applyBorder="1" applyAlignment="1" applyProtection="1">
      <alignment horizontal="center"/>
      <protection hidden="1"/>
    </xf>
    <xf numFmtId="164" fontId="31" fillId="0" borderId="0" xfId="0" applyNumberFormat="1" applyFont="1" applyAlignment="1" applyProtection="1">
      <alignment horizontal="center"/>
      <protection hidden="1"/>
    </xf>
    <xf numFmtId="0" fontId="34" fillId="0" borderId="0" xfId="0" applyFont="1" applyAlignment="1" applyProtection="1">
      <alignment horizontal="left" vertical="top" wrapText="1"/>
      <protection hidden="1"/>
    </xf>
    <xf numFmtId="0" fontId="34" fillId="0" borderId="7" xfId="0" applyFont="1" applyBorder="1" applyAlignment="1" applyProtection="1">
      <alignment horizontal="left" vertical="top" wrapText="1"/>
      <protection hidden="1"/>
    </xf>
    <xf numFmtId="0" fontId="0" fillId="0" borderId="0" xfId="0" applyAlignment="1" applyProtection="1">
      <alignment horizontal="right"/>
      <protection hidden="1"/>
    </xf>
    <xf numFmtId="0" fontId="0" fillId="0" borderId="0" xfId="0" applyAlignment="1" applyProtection="1">
      <alignment horizontal="left"/>
      <protection hidden="1"/>
    </xf>
  </cellXfs>
  <cellStyles count="4">
    <cellStyle name="Hyperlink" xfId="3" builtinId="8"/>
    <cellStyle name="Normal" xfId="0" builtinId="0"/>
    <cellStyle name="Note" xfId="2" builtinId="1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rgbClr val="0E9ED9"/>
                </a:solidFill>
              </a:rPr>
              <a:t>Assisted Versus Unassisted Motor Start Performance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'DOL - MotorVAR'!$DR$67</c:f>
              <c:strCache>
                <c:ptCount val="1"/>
                <c:pt idx="0">
                  <c:v>Unassisted</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'DOL - MotorVAR'!$DD$68:$DQ$73</c:f>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f>'DOL - MotorVAR'!$DR$68:$DR$73</c:f>
              <c:numCache>
                <c:formatCode>0.0%</c:formatCode>
                <c:ptCount val="6"/>
                <c:pt idx="0">
                  <c:v>3.015079453212909</c:v>
                </c:pt>
                <c:pt idx="1">
                  <c:v>0.60301589064258154</c:v>
                </c:pt>
                <c:pt idx="2">
                  <c:v>0.36362816436746614</c:v>
                </c:pt>
                <c:pt idx="3">
                  <c:v>0.68067785585491769</c:v>
                </c:pt>
                <c:pt idx="4">
                  <c:v>0.63831674069623712</c:v>
                </c:pt>
                <c:pt idx="5">
                  <c:v>3.015079453212909</c:v>
                </c:pt>
              </c:numCache>
            </c:numRef>
          </c:val>
          <c:extLst>
            <c:ext xmlns:c16="http://schemas.microsoft.com/office/drawing/2014/chart" uri="{C3380CC4-5D6E-409C-BE32-E72D297353CC}">
              <c16:uniqueId val="{00000000-2B22-455A-AEC7-95FAE5587379}"/>
            </c:ext>
          </c:extLst>
        </c:ser>
        <c:ser>
          <c:idx val="11"/>
          <c:order val="11"/>
          <c:tx>
            <c:strRef>
              <c:f>'DOL - MotorVAR'!$EC$67</c:f>
              <c:strCache>
                <c:ptCount val="1"/>
                <c:pt idx="0">
                  <c:v>MotorVAR Assisted</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'DOL - MotorVAR'!$DD$68:$DQ$73</c:f>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f>'DOL - MotorVAR'!$EC$68:$EC$73</c:f>
              <c:numCache>
                <c:formatCode>0.0%</c:formatCode>
                <c:ptCount val="6"/>
                <c:pt idx="0">
                  <c:v>4.4263405155636804</c:v>
                </c:pt>
                <c:pt idx="1">
                  <c:v>0.8852681031127364</c:v>
                </c:pt>
                <c:pt idx="2">
                  <c:v>0.78369961438882185</c:v>
                </c:pt>
                <c:pt idx="3">
                  <c:v>0.94289166662778845</c:v>
                </c:pt>
                <c:pt idx="4">
                  <c:v>0.93709213801829361</c:v>
                </c:pt>
                <c:pt idx="5">
                  <c:v>0.95988207829656502</c:v>
                </c:pt>
              </c:numCache>
            </c:numRef>
          </c:val>
          <c:extLst>
            <c:ext xmlns:c16="http://schemas.microsoft.com/office/drawing/2014/chart" uri="{C3380CC4-5D6E-409C-BE32-E72D297353CC}">
              <c16:uniqueId val="{00000001-2B22-455A-AEC7-95FAE5587379}"/>
            </c:ext>
          </c:extLst>
        </c:ser>
        <c:dLbls>
          <c:dLblPos val="outEnd"/>
          <c:showLegendKey val="0"/>
          <c:showVal val="1"/>
          <c:showCatName val="0"/>
          <c:showSerName val="0"/>
          <c:showPercent val="0"/>
          <c:showBubbleSize val="0"/>
        </c:dLbls>
        <c:gapWidth val="182"/>
        <c:axId val="1471576816"/>
        <c:axId val="1471586416"/>
        <c:extLst>
          <c:ext xmlns:c15="http://schemas.microsoft.com/office/drawing/2012/chart" uri="{02D57815-91ED-43cb-92C2-25804820EDAC}">
            <c15:filteredBarSeries>
              <c15:ser>
                <c:idx val="1"/>
                <c:order val="1"/>
                <c:tx>
                  <c:strRef>
                    <c:extLst>
                      <c:ext uri="{02D57815-91ED-43cb-92C2-25804820EDAC}">
                        <c15:formulaRef>
                          <c15:sqref>'DOL - MotorVAR'!$DS$67</c15:sqref>
                        </c15:formulaRef>
                      </c:ext>
                    </c:extLst>
                    <c:strCache>
                      <c:ptCount val="1"/>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c:ext uri="{02D57815-91ED-43cb-92C2-25804820EDAC}">
                        <c15:formulaRef>
                          <c15:sqref>'DOL - MotorVAR'!$DS$68:$DS$73</c15:sqref>
                        </c15:formulaRef>
                      </c:ext>
                    </c:extLst>
                    <c:numCache>
                      <c:formatCode>0.0%</c:formatCode>
                      <c:ptCount val="6"/>
                    </c:numCache>
                  </c:numRef>
                </c:val>
                <c:extLst>
                  <c:ext xmlns:c16="http://schemas.microsoft.com/office/drawing/2014/chart" uri="{C3380CC4-5D6E-409C-BE32-E72D297353CC}">
                    <c16:uniqueId val="{00000002-2B22-455A-AEC7-95FAE5587379}"/>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'DOL - MotorVAR'!$DT$67</c15:sqref>
                        </c15:formulaRef>
                      </c:ext>
                    </c:extLst>
                    <c:strCache>
                      <c:ptCount val="1"/>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MotorVAR'!$DT$68:$DT$73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3-2B22-455A-AEC7-95FAE558737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'DOL - MotorVAR'!$DU$67</c15:sqref>
                        </c15:formulaRef>
                      </c:ext>
                    </c:extLst>
                    <c:strCache>
                      <c:ptCount val="1"/>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MotorVAR'!$DU$68:$DU$73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4-2B22-455A-AEC7-95FAE5587379}"/>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'DOL - MotorVAR'!$DV$67</c15:sqref>
                        </c15:formulaRef>
                      </c:ext>
                    </c:extLst>
                    <c:strCache>
                      <c:ptCount val="1"/>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MotorVAR'!$DV$68:$DV$73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5-2B22-455A-AEC7-95FAE5587379}"/>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'DOL - MotorVAR'!$DW$67</c15:sqref>
                        </c15:formulaRef>
                      </c:ext>
                    </c:extLst>
                    <c:strCache>
                      <c:ptCount val="1"/>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MotorVAR'!$DW$68:$DW$73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6-2B22-455A-AEC7-95FAE5587379}"/>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'DOL - MotorVAR'!$DX$67</c15:sqref>
                        </c15:formulaRef>
                      </c:ext>
                    </c:extLst>
                    <c:strCache>
                      <c:ptCount val="1"/>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MotorVAR'!$DX$68:$DX$73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7-2B22-455A-AEC7-95FAE5587379}"/>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'DOL - MotorVAR'!$DY$67</c15:sqref>
                        </c15:formulaRef>
                      </c:ext>
                    </c:extLst>
                    <c:strCache>
                      <c:ptCount val="1"/>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MotorVAR'!$DY$68:$DY$73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8-2B22-455A-AEC7-95FAE5587379}"/>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'DOL - MotorVAR'!$DZ$67</c15:sqref>
                        </c15:formulaRef>
                      </c:ext>
                    </c:extLst>
                    <c:strCache>
                      <c:ptCount val="1"/>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MotorVAR'!$DZ$68:$DZ$73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9-2B22-455A-AEC7-95FAE5587379}"/>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'DOL - MotorVAR'!$EA$67</c15:sqref>
                        </c15:formulaRef>
                      </c:ext>
                    </c:extLst>
                    <c:strCache>
                      <c:ptCount val="1"/>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MotorVAR'!$EA$68:$EA$73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A-2B22-455A-AEC7-95FAE5587379}"/>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'DOL - MotorVAR'!$EB$67</c15:sqref>
                        </c15:formulaRef>
                      </c:ext>
                    </c:extLst>
                    <c:strCache>
                      <c:ptCount val="1"/>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MotorVAR'!$EB$68:$EB$73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B-2B22-455A-AEC7-95FAE5587379}"/>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'DOL - MotorVAR'!$ED$67</c15:sqref>
                        </c15:formulaRef>
                      </c:ext>
                    </c:extLst>
                    <c:strCache>
                      <c:ptCount val="1"/>
                    </c:strCache>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MotorVAR'!$ED$68:$ED$73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C-2B22-455A-AEC7-95FAE5587379}"/>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'DOL - MotorVAR'!$EE$67</c15:sqref>
                        </c15:formulaRef>
                      </c:ext>
                    </c:extLst>
                    <c:strCache>
                      <c:ptCount val="1"/>
                    </c:strCache>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MotorVAR'!$EE$68:$EE$73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D-2B22-455A-AEC7-95FAE5587379}"/>
                  </c:ext>
                </c:extLst>
              </c15:ser>
            </c15:filteredBarSeries>
            <c15:filteredBarSeries>
              <c15:ser>
                <c:idx val="14"/>
                <c:order val="14"/>
                <c:tx>
                  <c:strRef>
                    <c:extLst xmlns:c15="http://schemas.microsoft.com/office/drawing/2012/chart">
                      <c:ext xmlns:c15="http://schemas.microsoft.com/office/drawing/2012/chart" uri="{02D57815-91ED-43cb-92C2-25804820EDAC}">
                        <c15:formulaRef>
                          <c15:sqref>'DOL - MotorVAR'!$EF$67</c15:sqref>
                        </c15:formulaRef>
                      </c:ext>
                    </c:extLst>
                    <c:strCache>
                      <c:ptCount val="1"/>
                    </c:strCache>
                  </c:strRef>
                </c:tx>
                <c:spPr>
                  <a:solidFill>
                    <a:schemeClr val="accent3">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MotorVAR'!$EF$68:$EF$73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E-2B22-455A-AEC7-95FAE5587379}"/>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'DOL - MotorVAR'!$EG$67</c15:sqref>
                        </c15:formulaRef>
                      </c:ext>
                    </c:extLst>
                    <c:strCache>
                      <c:ptCount val="1"/>
                    </c:strCache>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MotorVAR'!$EG$68:$EG$73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F-2B22-455A-AEC7-95FAE5587379}"/>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'DOL - MotorVAR'!$EH$67</c15:sqref>
                        </c15:formulaRef>
                      </c:ext>
                    </c:extLst>
                    <c:strCache>
                      <c:ptCount val="1"/>
                    </c:strCache>
                  </c:strRef>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MotorVAR'!$EH$68:$EH$73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10-2B22-455A-AEC7-95FAE5587379}"/>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'DOL - MotorVAR'!$EI$67</c15:sqref>
                        </c15:formulaRef>
                      </c:ext>
                    </c:extLst>
                    <c:strCache>
                      <c:ptCount val="1"/>
                    </c:strCache>
                  </c:strRef>
                </c:tx>
                <c:spPr>
                  <a:solidFill>
                    <a:schemeClr val="accent6">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 - MotorVAR'!$DD$68:$DQ$73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 - MotorVAR'!$EI$68:$EI$73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11-2B22-455A-AEC7-95FAE5587379}"/>
                  </c:ext>
                </c:extLst>
              </c15:ser>
            </c15:filteredBarSeries>
          </c:ext>
        </c:extLst>
      </c:barChart>
      <c:catAx>
        <c:axId val="1471576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471586416"/>
        <c:crosses val="autoZero"/>
        <c:auto val="1"/>
        <c:lblAlgn val="ctr"/>
        <c:lblOffset val="100"/>
        <c:noMultiLvlLbl val="0"/>
      </c:catAx>
      <c:valAx>
        <c:axId val="14715864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1576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9525" cap="flat" cmpd="sng" algn="ctr">
      <a:solidFill>
        <a:srgbClr val="0E9ED9"/>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rgbClr val="00B0F0"/>
                </a:solidFill>
                <a:latin typeface="+mn-lt"/>
                <a:ea typeface="+mn-ea"/>
                <a:cs typeface="+mn-cs"/>
              </a:defRPr>
            </a:pPr>
            <a:r>
              <a:rPr lang="en-US" sz="1600" b="1">
                <a:solidFill>
                  <a:srgbClr val="00B0F0"/>
                </a:solidFill>
              </a:rPr>
              <a:t>Assisted</a:t>
            </a:r>
            <a:r>
              <a:rPr lang="en-US" sz="1600" b="1" baseline="0">
                <a:solidFill>
                  <a:srgbClr val="00B0F0"/>
                </a:solidFill>
              </a:rPr>
              <a:t> Versus Unassisted Starting</a:t>
            </a:r>
            <a:endParaRPr lang="en-US" sz="1600" b="1">
              <a:solidFill>
                <a:srgbClr val="00B0F0"/>
              </a:solidFill>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rgbClr val="00B0F0"/>
              </a:solidFill>
              <a:latin typeface="+mn-lt"/>
              <a:ea typeface="+mn-ea"/>
              <a:cs typeface="+mn-cs"/>
            </a:defRPr>
          </a:pPr>
          <a:endParaRPr lang="en-US"/>
        </a:p>
      </c:txPr>
    </c:title>
    <c:autoTitleDeleted val="0"/>
    <c:plotArea>
      <c:layout/>
      <c:barChart>
        <c:barDir val="bar"/>
        <c:grouping val="clustered"/>
        <c:varyColors val="0"/>
        <c:ser>
          <c:idx val="15"/>
          <c:order val="15"/>
          <c:tx>
            <c:strRef>
              <c:f>'MotorVAR + RVSS'!$DR$67</c:f>
              <c:strCache>
                <c:ptCount val="1"/>
                <c:pt idx="0">
                  <c:v>Unassisted</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'MotorVAR + RVSS'!$DB$68:$DB$73</c:f>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f>'MotorVAR + RVSS'!$DR$68:$DR$73</c:f>
              <c:numCache>
                <c:formatCode>0.0%</c:formatCode>
                <c:ptCount val="6"/>
                <c:pt idx="0">
                  <c:v>2.9300927298327646</c:v>
                </c:pt>
                <c:pt idx="1">
                  <c:v>0.58601854596655267</c:v>
                </c:pt>
                <c:pt idx="2">
                  <c:v>0.34341773621675287</c:v>
                </c:pt>
                <c:pt idx="3">
                  <c:v>0.68968652186701074</c:v>
                </c:pt>
                <c:pt idx="4">
                  <c:v>0.64852092496699487</c:v>
                </c:pt>
                <c:pt idx="5">
                  <c:v>2.9300927298327646</c:v>
                </c:pt>
              </c:numCache>
            </c:numRef>
          </c:val>
          <c:extLst>
            <c:ext xmlns:c16="http://schemas.microsoft.com/office/drawing/2014/chart" uri="{C3380CC4-5D6E-409C-BE32-E72D297353CC}">
              <c16:uniqueId val="{0000000F-BD09-410E-8C89-886403868FA5}"/>
            </c:ext>
          </c:extLst>
        </c:ser>
        <c:ser>
          <c:idx val="24"/>
          <c:order val="24"/>
          <c:tx>
            <c:strRef>
              <c:f>'MotorVAR + RVSS'!$EA$67</c:f>
              <c:strCache>
                <c:ptCount val="1"/>
                <c:pt idx="0">
                  <c:v>MotorVAR Assisted</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'MotorVAR + RVSS'!$DB$68:$DB$73</c:f>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f>'MotorVAR + RVSS'!$EA$68:$EA$73</c:f>
              <c:numCache>
                <c:formatCode>0.0%</c:formatCode>
                <c:ptCount val="6"/>
                <c:pt idx="0">
                  <c:v>3.729271936351152</c:v>
                </c:pt>
                <c:pt idx="1">
                  <c:v>0.7458543872702289</c:v>
                </c:pt>
                <c:pt idx="2">
                  <c:v>0.55629876701025072</c:v>
                </c:pt>
                <c:pt idx="3">
                  <c:v>0.84502222536993143</c:v>
                </c:pt>
                <c:pt idx="4">
                  <c:v>0.82540421365911454</c:v>
                </c:pt>
                <c:pt idx="5">
                  <c:v>1.5413959136287245</c:v>
                </c:pt>
              </c:numCache>
            </c:numRef>
          </c:val>
          <c:extLst>
            <c:ext xmlns:c16="http://schemas.microsoft.com/office/drawing/2014/chart" uri="{C3380CC4-5D6E-409C-BE32-E72D297353CC}">
              <c16:uniqueId val="{00000018-BD09-410E-8C89-886403868FA5}"/>
            </c:ext>
          </c:extLst>
        </c:ser>
        <c:ser>
          <c:idx val="31"/>
          <c:order val="31"/>
          <c:tx>
            <c:strRef>
              <c:f>'MotorVAR + RVSS'!$EH$67</c:f>
              <c:strCache>
                <c:ptCount val="1"/>
                <c:pt idx="0">
                  <c:v>MotorVAR + RVSS
Assisted</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'MotorVAR + RVSS'!$DB$68:$DB$73</c:f>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f>'MotorVAR + RVSS'!$EH$68:$EH$73</c:f>
              <c:numCache>
                <c:formatCode>0%</c:formatCode>
                <c:ptCount val="6"/>
                <c:pt idx="0">
                  <c:v>2.500005413117409</c:v>
                </c:pt>
                <c:pt idx="1">
                  <c:v>0.50000108262348264</c:v>
                </c:pt>
                <c:pt idx="2">
                  <c:v>0.25000108262465381</c:v>
                </c:pt>
                <c:pt idx="3">
                  <c:v>1.0393521703208808</c:v>
                </c:pt>
                <c:pt idx="4">
                  <c:v>1.0445765172089598</c:v>
                </c:pt>
                <c:pt idx="5">
                  <c:v>0.68455194944803022</c:v>
                </c:pt>
              </c:numCache>
            </c:numRef>
          </c:val>
          <c:extLst>
            <c:ext xmlns:c16="http://schemas.microsoft.com/office/drawing/2014/chart" uri="{C3380CC4-5D6E-409C-BE32-E72D297353CC}">
              <c16:uniqueId val="{0000001F-BD09-410E-8C89-886403868FA5}"/>
            </c:ext>
          </c:extLst>
        </c:ser>
        <c:dLbls>
          <c:showLegendKey val="0"/>
          <c:showVal val="0"/>
          <c:showCatName val="0"/>
          <c:showSerName val="0"/>
          <c:showPercent val="0"/>
          <c:showBubbleSize val="0"/>
        </c:dLbls>
        <c:gapWidth val="182"/>
        <c:axId val="210955840"/>
        <c:axId val="210947200"/>
        <c:extLst>
          <c:ext xmlns:c15="http://schemas.microsoft.com/office/drawing/2012/chart" uri="{02D57815-91ED-43cb-92C2-25804820EDAC}">
            <c15:filteredBarSeries>
              <c15:ser>
                <c:idx val="0"/>
                <c:order val="0"/>
                <c:tx>
                  <c:strRef>
                    <c:extLst>
                      <c:ext uri="{02D57815-91ED-43cb-92C2-25804820EDAC}">
                        <c15:formulaRef>
                          <c15:sqref>'MotorVAR + RVSS'!$DC$67</c15:sqref>
                        </c15:formulaRef>
                      </c:ext>
                    </c:extLst>
                    <c:strCache>
                      <c:ptCount val="1"/>
                    </c:strCache>
                  </c:strRef>
                </c:tx>
                <c:spPr>
                  <a:solidFill>
                    <a:schemeClr val="accent1"/>
                  </a:solidFill>
                  <a:ln>
                    <a:noFill/>
                  </a:ln>
                  <a:effectLst/>
                </c:spPr>
                <c:invertIfNegative val="0"/>
                <c:cat>
                  <c:strRef>
                    <c:extLst>
                      <c:ex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c:ext uri="{02D57815-91ED-43cb-92C2-25804820EDAC}">
                        <c15:formulaRef>
                          <c15:sqref>'MotorVAR + RVSS'!$DC$68:$DC$73</c15:sqref>
                        </c15:formulaRef>
                      </c:ext>
                    </c:extLst>
                    <c:numCache>
                      <c:formatCode>General</c:formatCode>
                      <c:ptCount val="6"/>
                    </c:numCache>
                  </c:numRef>
                </c:val>
                <c:extLst>
                  <c:ext xmlns:c16="http://schemas.microsoft.com/office/drawing/2014/chart" uri="{C3380CC4-5D6E-409C-BE32-E72D297353CC}">
                    <c16:uniqueId val="{00000000-BD09-410E-8C89-886403868FA5}"/>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'MotorVAR + RVSS'!$DD$67</c15:sqref>
                        </c15:formulaRef>
                      </c:ext>
                    </c:extLst>
                    <c:strCache>
                      <c:ptCount val="1"/>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RVSS'!$DD$68:$DD$73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1-BD09-410E-8C89-886403868FA5}"/>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'MotorVAR + RVSS'!$DE$67</c15:sqref>
                        </c15:formulaRef>
                      </c:ext>
                    </c:extLst>
                    <c:strCache>
                      <c:ptCount val="1"/>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RVSS'!$DE$68:$DE$73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2-BD09-410E-8C89-886403868FA5}"/>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'MotorVAR + RVSS'!$DF$67</c15:sqref>
                        </c15:formulaRef>
                      </c:ext>
                    </c:extLst>
                    <c:strCache>
                      <c:ptCount val="1"/>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RVSS'!$DF$68:$DF$73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3-BD09-410E-8C89-886403868FA5}"/>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'MotorVAR + RVSS'!$DG$67</c15:sqref>
                        </c15:formulaRef>
                      </c:ext>
                    </c:extLst>
                    <c:strCache>
                      <c:ptCount val="1"/>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RVSS'!$DG$68:$DG$73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4-BD09-410E-8C89-886403868FA5}"/>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'MotorVAR + RVSS'!$DH$67</c15:sqref>
                        </c15:formulaRef>
                      </c:ext>
                    </c:extLst>
                    <c:strCache>
                      <c:ptCount val="1"/>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RVSS'!$DH$68:$DH$73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5-BD09-410E-8C89-886403868FA5}"/>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'MotorVAR + RVSS'!$DI$67</c15:sqref>
                        </c15:formulaRef>
                      </c:ext>
                    </c:extLst>
                    <c:strCache>
                      <c:ptCount val="1"/>
                    </c:strCache>
                  </c:strRef>
                </c:tx>
                <c:spPr>
                  <a:solidFill>
                    <a:schemeClr val="accent1">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RVSS'!$DI$68:$DI$73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6-BD09-410E-8C89-886403868FA5}"/>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'MotorVAR + RVSS'!$DJ$67</c15:sqref>
                        </c15:formulaRef>
                      </c:ext>
                    </c:extLst>
                    <c:strCache>
                      <c:ptCount val="1"/>
                    </c:strCache>
                  </c:strRef>
                </c:tx>
                <c:spPr>
                  <a:solidFill>
                    <a:schemeClr val="accent2">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RVSS'!$DJ$68:$DJ$73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7-BD09-410E-8C89-886403868FA5}"/>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'MotorVAR + RVSS'!$DK$67</c15:sqref>
                        </c15:formulaRef>
                      </c:ext>
                    </c:extLst>
                    <c:strCache>
                      <c:ptCount val="1"/>
                    </c:strCache>
                  </c:strRef>
                </c:tx>
                <c:spPr>
                  <a:solidFill>
                    <a:schemeClr val="accent3">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RVSS'!$DK$68:$DK$73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8-BD09-410E-8C89-886403868FA5}"/>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'MotorVAR + RVSS'!$DL$67</c15:sqref>
                        </c15:formulaRef>
                      </c:ext>
                    </c:extLst>
                    <c:strCache>
                      <c:ptCount val="1"/>
                    </c:strCache>
                  </c:strRef>
                </c:tx>
                <c:spPr>
                  <a:solidFill>
                    <a:schemeClr val="accent4">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RVSS'!$DL$68:$DL$73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9-BD09-410E-8C89-886403868FA5}"/>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'MotorVAR + RVSS'!$DM$67</c15:sqref>
                        </c15:formulaRef>
                      </c:ext>
                    </c:extLst>
                    <c:strCache>
                      <c:ptCount val="1"/>
                    </c:strCache>
                  </c:strRef>
                </c:tx>
                <c:spPr>
                  <a:solidFill>
                    <a:schemeClr val="accent5">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RVSS'!$DM$68:$DM$73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A-BD09-410E-8C89-886403868FA5}"/>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'MotorVAR + RVSS'!$DN$67</c15:sqref>
                        </c15:formulaRef>
                      </c:ext>
                    </c:extLst>
                    <c:strCache>
                      <c:ptCount val="1"/>
                    </c:strCache>
                  </c:strRef>
                </c:tx>
                <c:spPr>
                  <a:solidFill>
                    <a:schemeClr val="accent6">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RVSS'!$DN$68:$DN$73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B-BD09-410E-8C89-886403868FA5}"/>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'MotorVAR + RVSS'!$DO$67</c15:sqref>
                        </c15:formulaRef>
                      </c:ext>
                    </c:extLst>
                    <c:strCache>
                      <c:ptCount val="1"/>
                    </c:strCache>
                  </c:strRef>
                </c:tx>
                <c:spPr>
                  <a:solidFill>
                    <a:schemeClr val="accent1">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RVSS'!$DO$68:$DO$73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C-BD09-410E-8C89-886403868FA5}"/>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'MotorVAR + RVSS'!$DP$67</c15:sqref>
                        </c15:formulaRef>
                      </c:ext>
                    </c:extLst>
                    <c:strCache>
                      <c:ptCount val="1"/>
                    </c:strCache>
                  </c:strRef>
                </c:tx>
                <c:spPr>
                  <a:solidFill>
                    <a:schemeClr val="accent2">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RVSS'!$DP$68:$DP$73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D-BD09-410E-8C89-886403868FA5}"/>
                  </c:ext>
                </c:extLst>
              </c15:ser>
            </c15:filteredBarSeries>
            <c15:filteredBarSeries>
              <c15:ser>
                <c:idx val="14"/>
                <c:order val="14"/>
                <c:tx>
                  <c:strRef>
                    <c:extLst xmlns:c15="http://schemas.microsoft.com/office/drawing/2012/chart">
                      <c:ext xmlns:c15="http://schemas.microsoft.com/office/drawing/2012/chart" uri="{02D57815-91ED-43cb-92C2-25804820EDAC}">
                        <c15:formulaRef>
                          <c15:sqref>'MotorVAR + RVSS'!$DQ$67</c15:sqref>
                        </c15:formulaRef>
                      </c:ext>
                    </c:extLst>
                    <c:strCache>
                      <c:ptCount val="1"/>
                    </c:strCache>
                  </c:strRef>
                </c:tx>
                <c:spPr>
                  <a:solidFill>
                    <a:schemeClr val="accent3">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RVSS'!$DQ$68:$DQ$73</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E-BD09-410E-8C89-886403868FA5}"/>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'MotorVAR + RVSS'!$DS$67</c15:sqref>
                        </c15:formulaRef>
                      </c:ext>
                    </c:extLst>
                    <c:strCache>
                      <c:ptCount val="1"/>
                    </c:strCache>
                  </c:strRef>
                </c:tx>
                <c:spPr>
                  <a:solidFill>
                    <a:schemeClr val="accent5">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RVSS'!$DS$68:$DS$73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0-BD09-410E-8C89-886403868FA5}"/>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'MotorVAR + RVSS'!$DT$67</c15:sqref>
                        </c15:formulaRef>
                      </c:ext>
                    </c:extLst>
                    <c:strCache>
                      <c:ptCount val="1"/>
                    </c:strCache>
                  </c:strRef>
                </c:tx>
                <c:spPr>
                  <a:solidFill>
                    <a:schemeClr val="accent6">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RVSS'!$DT$68:$DT$73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1-BD09-410E-8C89-886403868FA5}"/>
                  </c:ext>
                </c:extLst>
              </c15:ser>
            </c15:filteredBarSeries>
            <c15:filteredBarSeries>
              <c15:ser>
                <c:idx val="18"/>
                <c:order val="18"/>
                <c:tx>
                  <c:strRef>
                    <c:extLst xmlns:c15="http://schemas.microsoft.com/office/drawing/2012/chart">
                      <c:ext xmlns:c15="http://schemas.microsoft.com/office/drawing/2012/chart" uri="{02D57815-91ED-43cb-92C2-25804820EDAC}">
                        <c15:formulaRef>
                          <c15:sqref>'MotorVAR + RVSS'!$DU$67</c15:sqref>
                        </c15:formulaRef>
                      </c:ext>
                    </c:extLst>
                    <c:strCache>
                      <c:ptCount val="1"/>
                    </c:strCache>
                  </c:strRef>
                </c:tx>
                <c:spPr>
                  <a:solidFill>
                    <a:schemeClr val="accent1">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RVSS'!$DU$68:$DU$73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2-BD09-410E-8C89-886403868FA5}"/>
                  </c:ext>
                </c:extLst>
              </c15:ser>
            </c15:filteredBarSeries>
            <c15:filteredBarSeries>
              <c15:ser>
                <c:idx val="19"/>
                <c:order val="19"/>
                <c:tx>
                  <c:strRef>
                    <c:extLst xmlns:c15="http://schemas.microsoft.com/office/drawing/2012/chart">
                      <c:ext xmlns:c15="http://schemas.microsoft.com/office/drawing/2012/chart" uri="{02D57815-91ED-43cb-92C2-25804820EDAC}">
                        <c15:formulaRef>
                          <c15:sqref>'MotorVAR + RVSS'!$DV$67</c15:sqref>
                        </c15:formulaRef>
                      </c:ext>
                    </c:extLst>
                    <c:strCache>
                      <c:ptCount val="1"/>
                    </c:strCache>
                  </c:strRef>
                </c:tx>
                <c:spPr>
                  <a:solidFill>
                    <a:schemeClr val="accent2">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RVSS'!$DV$68:$DV$73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3-BD09-410E-8C89-886403868FA5}"/>
                  </c:ext>
                </c:extLst>
              </c15:ser>
            </c15:filteredBarSeries>
            <c15:filteredBarSeries>
              <c15:ser>
                <c:idx val="20"/>
                <c:order val="20"/>
                <c:tx>
                  <c:strRef>
                    <c:extLst xmlns:c15="http://schemas.microsoft.com/office/drawing/2012/chart">
                      <c:ext xmlns:c15="http://schemas.microsoft.com/office/drawing/2012/chart" uri="{02D57815-91ED-43cb-92C2-25804820EDAC}">
                        <c15:formulaRef>
                          <c15:sqref>'MotorVAR + RVSS'!$DW$67</c15:sqref>
                        </c15:formulaRef>
                      </c:ext>
                    </c:extLst>
                    <c:strCache>
                      <c:ptCount val="1"/>
                    </c:strCache>
                  </c:strRef>
                </c:tx>
                <c:spPr>
                  <a:solidFill>
                    <a:schemeClr val="accent3">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RVSS'!$DW$68:$DW$73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4-BD09-410E-8C89-886403868FA5}"/>
                  </c:ext>
                </c:extLst>
              </c15:ser>
            </c15:filteredBarSeries>
            <c15:filteredBarSeries>
              <c15:ser>
                <c:idx val="21"/>
                <c:order val="21"/>
                <c:tx>
                  <c:strRef>
                    <c:extLst xmlns:c15="http://schemas.microsoft.com/office/drawing/2012/chart">
                      <c:ext xmlns:c15="http://schemas.microsoft.com/office/drawing/2012/chart" uri="{02D57815-91ED-43cb-92C2-25804820EDAC}">
                        <c15:formulaRef>
                          <c15:sqref>'MotorVAR + RVSS'!$DX$67</c15:sqref>
                        </c15:formulaRef>
                      </c:ext>
                    </c:extLst>
                    <c:strCache>
                      <c:ptCount val="1"/>
                    </c:strCache>
                  </c:strRef>
                </c:tx>
                <c:spPr>
                  <a:solidFill>
                    <a:schemeClr val="accent4">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RVSS'!$DX$68:$DX$73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5-BD09-410E-8C89-886403868FA5}"/>
                  </c:ext>
                </c:extLst>
              </c15:ser>
            </c15:filteredBarSeries>
            <c15:filteredBarSeries>
              <c15:ser>
                <c:idx val="22"/>
                <c:order val="22"/>
                <c:tx>
                  <c:strRef>
                    <c:extLst xmlns:c15="http://schemas.microsoft.com/office/drawing/2012/chart">
                      <c:ext xmlns:c15="http://schemas.microsoft.com/office/drawing/2012/chart" uri="{02D57815-91ED-43cb-92C2-25804820EDAC}">
                        <c15:formulaRef>
                          <c15:sqref>'MotorVAR + RVSS'!$DY$67</c15:sqref>
                        </c15:formulaRef>
                      </c:ext>
                    </c:extLst>
                    <c:strCache>
                      <c:ptCount val="1"/>
                    </c:strCache>
                  </c:strRef>
                </c:tx>
                <c:spPr>
                  <a:solidFill>
                    <a:schemeClr val="accent5">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RVSS'!$DY$68:$DY$73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6-BD09-410E-8C89-886403868FA5}"/>
                  </c:ext>
                </c:extLst>
              </c15:ser>
            </c15:filteredBarSeries>
            <c15:filteredBarSeries>
              <c15:ser>
                <c:idx val="23"/>
                <c:order val="23"/>
                <c:tx>
                  <c:strRef>
                    <c:extLst xmlns:c15="http://schemas.microsoft.com/office/drawing/2012/chart">
                      <c:ext xmlns:c15="http://schemas.microsoft.com/office/drawing/2012/chart" uri="{02D57815-91ED-43cb-92C2-25804820EDAC}">
                        <c15:formulaRef>
                          <c15:sqref>'MotorVAR + RVSS'!$DZ$67</c15:sqref>
                        </c15:formulaRef>
                      </c:ext>
                    </c:extLst>
                    <c:strCache>
                      <c:ptCount val="1"/>
                    </c:strCache>
                  </c:strRef>
                </c:tx>
                <c:spPr>
                  <a:solidFill>
                    <a:schemeClr val="accent6">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RVSS'!$DZ$68:$DZ$73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7-BD09-410E-8C89-886403868FA5}"/>
                  </c:ext>
                </c:extLst>
              </c15:ser>
            </c15:filteredBarSeries>
            <c15:filteredBarSeries>
              <c15:ser>
                <c:idx val="25"/>
                <c:order val="25"/>
                <c:tx>
                  <c:strRef>
                    <c:extLst xmlns:c15="http://schemas.microsoft.com/office/drawing/2012/chart">
                      <c:ext xmlns:c15="http://schemas.microsoft.com/office/drawing/2012/chart" uri="{02D57815-91ED-43cb-92C2-25804820EDAC}">
                        <c15:formulaRef>
                          <c15:sqref>'MotorVAR + RVSS'!$EB$67</c15:sqref>
                        </c15:formulaRef>
                      </c:ext>
                    </c:extLst>
                    <c:strCache>
                      <c:ptCount val="1"/>
                    </c:strCache>
                  </c:strRef>
                </c:tx>
                <c:spPr>
                  <a:solidFill>
                    <a:schemeClr val="accent2">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RVSS'!$EB$68:$EB$73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9-BD09-410E-8C89-886403868FA5}"/>
                  </c:ext>
                </c:extLst>
              </c15:ser>
            </c15:filteredBarSeries>
            <c15:filteredBarSeries>
              <c15:ser>
                <c:idx val="26"/>
                <c:order val="26"/>
                <c:tx>
                  <c:strRef>
                    <c:extLst xmlns:c15="http://schemas.microsoft.com/office/drawing/2012/chart">
                      <c:ext xmlns:c15="http://schemas.microsoft.com/office/drawing/2012/chart" uri="{02D57815-91ED-43cb-92C2-25804820EDAC}">
                        <c15:formulaRef>
                          <c15:sqref>'MotorVAR + RVSS'!$EC$67</c15:sqref>
                        </c15:formulaRef>
                      </c:ext>
                    </c:extLst>
                    <c:strCache>
                      <c:ptCount val="1"/>
                    </c:strCache>
                  </c:strRef>
                </c:tx>
                <c:spPr>
                  <a:solidFill>
                    <a:schemeClr val="accent3">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RVSS'!$EC$68:$EC$73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A-BD09-410E-8C89-886403868FA5}"/>
                  </c:ext>
                </c:extLst>
              </c15:ser>
            </c15:filteredBarSeries>
            <c15:filteredBarSeries>
              <c15:ser>
                <c:idx val="27"/>
                <c:order val="27"/>
                <c:tx>
                  <c:strRef>
                    <c:extLst xmlns:c15="http://schemas.microsoft.com/office/drawing/2012/chart">
                      <c:ext xmlns:c15="http://schemas.microsoft.com/office/drawing/2012/chart" uri="{02D57815-91ED-43cb-92C2-25804820EDAC}">
                        <c15:formulaRef>
                          <c15:sqref>'MotorVAR + RVSS'!$ED$67</c15:sqref>
                        </c15:formulaRef>
                      </c:ext>
                    </c:extLst>
                    <c:strCache>
                      <c:ptCount val="1"/>
                    </c:strCache>
                  </c:strRef>
                </c:tx>
                <c:spPr>
                  <a:solidFill>
                    <a:schemeClr val="accent4">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RVSS'!$ED$68:$ED$73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B-BD09-410E-8C89-886403868FA5}"/>
                  </c:ext>
                </c:extLst>
              </c15:ser>
            </c15:filteredBarSeries>
            <c15:filteredBarSeries>
              <c15:ser>
                <c:idx val="28"/>
                <c:order val="28"/>
                <c:tx>
                  <c:strRef>
                    <c:extLst xmlns:c15="http://schemas.microsoft.com/office/drawing/2012/chart">
                      <c:ext xmlns:c15="http://schemas.microsoft.com/office/drawing/2012/chart" uri="{02D57815-91ED-43cb-92C2-25804820EDAC}">
                        <c15:formulaRef>
                          <c15:sqref>'MotorVAR + RVSS'!$EE$67</c15:sqref>
                        </c15:formulaRef>
                      </c:ext>
                    </c:extLst>
                    <c:strCache>
                      <c:ptCount val="1"/>
                    </c:strCache>
                  </c:strRef>
                </c:tx>
                <c:spPr>
                  <a:solidFill>
                    <a:schemeClr val="accent5">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RVSS'!$EE$68:$EE$73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C-BD09-410E-8C89-886403868FA5}"/>
                  </c:ext>
                </c:extLst>
              </c15:ser>
            </c15:filteredBarSeries>
            <c15:filteredBarSeries>
              <c15:ser>
                <c:idx val="29"/>
                <c:order val="29"/>
                <c:tx>
                  <c:strRef>
                    <c:extLst xmlns:c15="http://schemas.microsoft.com/office/drawing/2012/chart">
                      <c:ext xmlns:c15="http://schemas.microsoft.com/office/drawing/2012/chart" uri="{02D57815-91ED-43cb-92C2-25804820EDAC}">
                        <c15:formulaRef>
                          <c15:sqref>'MotorVAR + RVSS'!$EF$67</c15:sqref>
                        </c15:formulaRef>
                      </c:ext>
                    </c:extLst>
                    <c:strCache>
                      <c:ptCount val="1"/>
                    </c:strCache>
                  </c:strRef>
                </c:tx>
                <c:spPr>
                  <a:solidFill>
                    <a:schemeClr val="accent6">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RVSS'!$EF$68:$EF$73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D-BD09-410E-8C89-886403868FA5}"/>
                  </c:ext>
                </c:extLst>
              </c15:ser>
            </c15:filteredBarSeries>
            <c15:filteredBarSeries>
              <c15:ser>
                <c:idx val="30"/>
                <c:order val="30"/>
                <c:tx>
                  <c:strRef>
                    <c:extLst xmlns:c15="http://schemas.microsoft.com/office/drawing/2012/chart">
                      <c:ext xmlns:c15="http://schemas.microsoft.com/office/drawing/2012/chart" uri="{02D57815-91ED-43cb-92C2-25804820EDAC}">
                        <c15:formulaRef>
                          <c15:sqref>'MotorVAR + RVSS'!$EG$67</c15:sqref>
                        </c15:formulaRef>
                      </c:ext>
                    </c:extLst>
                    <c:strCache>
                      <c:ptCount val="1"/>
                    </c:strCache>
                  </c:strRef>
                </c:tx>
                <c:spPr>
                  <a:solidFill>
                    <a:schemeClr val="accent1">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RVSS'!$EG$68:$EG$73</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E-BD09-410E-8C89-886403868FA5}"/>
                  </c:ext>
                </c:extLst>
              </c15:ser>
            </c15:filteredBarSeries>
            <c15:filteredBarSeries>
              <c15:ser>
                <c:idx val="32"/>
                <c:order val="32"/>
                <c:tx>
                  <c:strRef>
                    <c:extLst xmlns:c15="http://schemas.microsoft.com/office/drawing/2012/chart">
                      <c:ext xmlns:c15="http://schemas.microsoft.com/office/drawing/2012/chart" uri="{02D57815-91ED-43cb-92C2-25804820EDAC}">
                        <c15:formulaRef>
                          <c15:sqref>'MotorVAR + RVSS'!$EI$67</c15:sqref>
                        </c15:formulaRef>
                      </c:ext>
                    </c:extLst>
                    <c:strCache>
                      <c:ptCount val="1"/>
                    </c:strCache>
                  </c:strRef>
                </c:tx>
                <c:spPr>
                  <a:solidFill>
                    <a:schemeClr val="accent3">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RVSS'!$EI$68:$EI$73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0-BD09-410E-8C89-886403868FA5}"/>
                  </c:ext>
                </c:extLst>
              </c15:ser>
            </c15:filteredBarSeries>
            <c15:filteredBarSeries>
              <c15:ser>
                <c:idx val="33"/>
                <c:order val="33"/>
                <c:tx>
                  <c:strRef>
                    <c:extLst xmlns:c15="http://schemas.microsoft.com/office/drawing/2012/chart">
                      <c:ext xmlns:c15="http://schemas.microsoft.com/office/drawing/2012/chart" uri="{02D57815-91ED-43cb-92C2-25804820EDAC}">
                        <c15:formulaRef>
                          <c15:sqref>'MotorVAR + RVSS'!$EJ$67</c15:sqref>
                        </c15:formulaRef>
                      </c:ext>
                    </c:extLst>
                    <c:strCache>
                      <c:ptCount val="1"/>
                    </c:strCache>
                  </c:strRef>
                </c:tx>
                <c:spPr>
                  <a:solidFill>
                    <a:schemeClr val="accent4">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RVSS'!$EJ$68:$EJ$73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1-BD09-410E-8C89-886403868FA5}"/>
                  </c:ext>
                </c:extLst>
              </c15:ser>
            </c15:filteredBarSeries>
            <c15:filteredBarSeries>
              <c15:ser>
                <c:idx val="34"/>
                <c:order val="34"/>
                <c:tx>
                  <c:strRef>
                    <c:extLst xmlns:c15="http://schemas.microsoft.com/office/drawing/2012/chart">
                      <c:ext xmlns:c15="http://schemas.microsoft.com/office/drawing/2012/chart" uri="{02D57815-91ED-43cb-92C2-25804820EDAC}">
                        <c15:formulaRef>
                          <c15:sqref>'MotorVAR + RVSS'!$EK$67</c15:sqref>
                        </c15:formulaRef>
                      </c:ext>
                    </c:extLst>
                    <c:strCache>
                      <c:ptCount val="1"/>
                    </c:strCache>
                  </c:strRef>
                </c:tx>
                <c:spPr>
                  <a:solidFill>
                    <a:schemeClr val="accent5">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RVSS'!$EK$68:$EK$73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2-BD09-410E-8C89-886403868FA5}"/>
                  </c:ext>
                </c:extLst>
              </c15:ser>
            </c15:filteredBarSeries>
            <c15:filteredBarSeries>
              <c15:ser>
                <c:idx val="35"/>
                <c:order val="35"/>
                <c:tx>
                  <c:strRef>
                    <c:extLst xmlns:c15="http://schemas.microsoft.com/office/drawing/2012/chart">
                      <c:ext xmlns:c15="http://schemas.microsoft.com/office/drawing/2012/chart" uri="{02D57815-91ED-43cb-92C2-25804820EDAC}">
                        <c15:formulaRef>
                          <c15:sqref>'MotorVAR + RVSS'!$EL$67</c15:sqref>
                        </c15:formulaRef>
                      </c:ext>
                    </c:extLst>
                    <c:strCache>
                      <c:ptCount val="1"/>
                    </c:strCache>
                  </c:strRef>
                </c:tx>
                <c:spPr>
                  <a:solidFill>
                    <a:schemeClr val="accent6">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RVSS'!$EL$68:$EL$73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3-BD09-410E-8C89-886403868FA5}"/>
                  </c:ext>
                </c:extLst>
              </c15:ser>
            </c15:filteredBarSeries>
            <c15:filteredBarSeries>
              <c15:ser>
                <c:idx val="36"/>
                <c:order val="36"/>
                <c:tx>
                  <c:strRef>
                    <c:extLst xmlns:c15="http://schemas.microsoft.com/office/drawing/2012/chart">
                      <c:ext xmlns:c15="http://schemas.microsoft.com/office/drawing/2012/chart" uri="{02D57815-91ED-43cb-92C2-25804820EDAC}">
                        <c15:formulaRef>
                          <c15:sqref>'MotorVAR + RVSS'!$EM$67</c15:sqref>
                        </c15:formulaRef>
                      </c:ext>
                    </c:extLst>
                    <c:strCache>
                      <c:ptCount val="1"/>
                    </c:strCache>
                  </c:strRef>
                </c:tx>
                <c:spPr>
                  <a:solidFill>
                    <a:schemeClr val="accent1">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RVSS'!$EM$68:$EM$73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4-BD09-410E-8C89-886403868FA5}"/>
                  </c:ext>
                </c:extLst>
              </c15:ser>
            </c15:filteredBarSeries>
            <c15:filteredBarSeries>
              <c15:ser>
                <c:idx val="37"/>
                <c:order val="37"/>
                <c:tx>
                  <c:strRef>
                    <c:extLst xmlns:c15="http://schemas.microsoft.com/office/drawing/2012/chart">
                      <c:ext xmlns:c15="http://schemas.microsoft.com/office/drawing/2012/chart" uri="{02D57815-91ED-43cb-92C2-25804820EDAC}">
                        <c15:formulaRef>
                          <c15:sqref>'MotorVAR + RVSS'!$EN$67</c15:sqref>
                        </c15:formulaRef>
                      </c:ext>
                    </c:extLst>
                    <c:strCache>
                      <c:ptCount val="1"/>
                    </c:strCache>
                  </c:strRef>
                </c:tx>
                <c:spPr>
                  <a:solidFill>
                    <a:schemeClr val="accent2">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RVSS'!$EN$68:$EN$73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5-BD09-410E-8C89-886403868FA5}"/>
                  </c:ext>
                </c:extLst>
              </c15:ser>
            </c15:filteredBarSeries>
            <c15:filteredBarSeries>
              <c15:ser>
                <c:idx val="38"/>
                <c:order val="38"/>
                <c:tx>
                  <c:strRef>
                    <c:extLst xmlns:c15="http://schemas.microsoft.com/office/drawing/2012/chart">
                      <c:ext xmlns:c15="http://schemas.microsoft.com/office/drawing/2012/chart" uri="{02D57815-91ED-43cb-92C2-25804820EDAC}">
                        <c15:formulaRef>
                          <c15:sqref>'MotorVAR + RVSS'!$EO$67</c15:sqref>
                        </c15:formulaRef>
                      </c:ext>
                    </c:extLst>
                    <c:strCache>
                      <c:ptCount val="1"/>
                    </c:strCache>
                  </c:strRef>
                </c:tx>
                <c:spPr>
                  <a:solidFill>
                    <a:schemeClr val="accent3">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RVSS'!$EO$68:$EO$73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6-BD09-410E-8C89-886403868FA5}"/>
                  </c:ext>
                </c:extLst>
              </c15:ser>
            </c15:filteredBarSeries>
            <c15:filteredBarSeries>
              <c15:ser>
                <c:idx val="39"/>
                <c:order val="39"/>
                <c:tx>
                  <c:strRef>
                    <c:extLst xmlns:c15="http://schemas.microsoft.com/office/drawing/2012/chart">
                      <c:ext xmlns:c15="http://schemas.microsoft.com/office/drawing/2012/chart" uri="{02D57815-91ED-43cb-92C2-25804820EDAC}">
                        <c15:formulaRef>
                          <c15:sqref>'MotorVAR + RVSS'!$EP$67</c15:sqref>
                        </c15:formulaRef>
                      </c:ext>
                    </c:extLst>
                    <c:strCache>
                      <c:ptCount val="1"/>
                    </c:strCache>
                  </c:strRef>
                </c:tx>
                <c:spPr>
                  <a:solidFill>
                    <a:schemeClr val="accent4">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RVSS'!$EP$68:$EP$73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7-BD09-410E-8C89-886403868FA5}"/>
                  </c:ext>
                </c:extLst>
              </c15:ser>
            </c15:filteredBarSeries>
            <c15:filteredBarSeries>
              <c15:ser>
                <c:idx val="40"/>
                <c:order val="40"/>
                <c:tx>
                  <c:strRef>
                    <c:extLst xmlns:c15="http://schemas.microsoft.com/office/drawing/2012/chart">
                      <c:ext xmlns:c15="http://schemas.microsoft.com/office/drawing/2012/chart" uri="{02D57815-91ED-43cb-92C2-25804820EDAC}">
                        <c15:formulaRef>
                          <c15:sqref>'MotorVAR + RVSS'!$EQ$67</c15:sqref>
                        </c15:formulaRef>
                      </c:ext>
                    </c:extLst>
                    <c:strCache>
                      <c:ptCount val="1"/>
                    </c:strCache>
                  </c:strRef>
                </c:tx>
                <c:spPr>
                  <a:solidFill>
                    <a:schemeClr val="accent5">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RVSS'!$EQ$68:$EQ$73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8-BD09-410E-8C89-886403868FA5}"/>
                  </c:ext>
                </c:extLst>
              </c15:ser>
            </c15:filteredBarSeries>
            <c15:filteredBarSeries>
              <c15:ser>
                <c:idx val="41"/>
                <c:order val="41"/>
                <c:tx>
                  <c:strRef>
                    <c:extLst xmlns:c15="http://schemas.microsoft.com/office/drawing/2012/chart">
                      <c:ext xmlns:c15="http://schemas.microsoft.com/office/drawing/2012/chart" uri="{02D57815-91ED-43cb-92C2-25804820EDAC}">
                        <c15:formulaRef>
                          <c15:sqref>'MotorVAR + RVSS'!$ER$67</c15:sqref>
                        </c15:formulaRef>
                      </c:ext>
                    </c:extLst>
                    <c:strCache>
                      <c:ptCount val="1"/>
                    </c:strCache>
                  </c:strRef>
                </c:tx>
                <c:spPr>
                  <a:solidFill>
                    <a:schemeClr val="accent6">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RVSS'!$ER$68:$ER$73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9-BD09-410E-8C89-886403868FA5}"/>
                  </c:ext>
                </c:extLst>
              </c15:ser>
            </c15:filteredBarSeries>
            <c15:filteredBarSeries>
              <c15:ser>
                <c:idx val="42"/>
                <c:order val="42"/>
                <c:tx>
                  <c:strRef>
                    <c:extLst xmlns:c15="http://schemas.microsoft.com/office/drawing/2012/chart">
                      <c:ext xmlns:c15="http://schemas.microsoft.com/office/drawing/2012/chart" uri="{02D57815-91ED-43cb-92C2-25804820EDAC}">
                        <c15:formulaRef>
                          <c15:sqref>'MotorVAR + RVSS'!$ES$67</c15:sqref>
                        </c15:formulaRef>
                      </c:ext>
                    </c:extLst>
                    <c:strCache>
                      <c:ptCount val="1"/>
                    </c:strCache>
                  </c:strRef>
                </c:tx>
                <c:spPr>
                  <a:solidFill>
                    <a:schemeClr val="accent1">
                      <a:lumMod val="7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RVSS'!$ES$68:$ES$73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A-BD09-410E-8C89-886403868FA5}"/>
                  </c:ext>
                </c:extLst>
              </c15:ser>
            </c15:filteredBarSeries>
            <c15:filteredBarSeries>
              <c15:ser>
                <c:idx val="43"/>
                <c:order val="43"/>
                <c:tx>
                  <c:strRef>
                    <c:extLst xmlns:c15="http://schemas.microsoft.com/office/drawing/2012/chart">
                      <c:ext xmlns:c15="http://schemas.microsoft.com/office/drawing/2012/chart" uri="{02D57815-91ED-43cb-92C2-25804820EDAC}">
                        <c15:formulaRef>
                          <c15:sqref>'MotorVAR + RVSS'!$ET$67</c15:sqref>
                        </c15:formulaRef>
                      </c:ext>
                    </c:extLst>
                    <c:strCache>
                      <c:ptCount val="1"/>
                    </c:strCache>
                  </c:strRef>
                </c:tx>
                <c:spPr>
                  <a:solidFill>
                    <a:schemeClr val="accent2">
                      <a:lumMod val="7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RVSS'!$ET$68:$ET$73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B-BD09-410E-8C89-886403868FA5}"/>
                  </c:ext>
                </c:extLst>
              </c15:ser>
            </c15:filteredBarSeries>
            <c15:filteredBarSeries>
              <c15:ser>
                <c:idx val="44"/>
                <c:order val="44"/>
                <c:tx>
                  <c:strRef>
                    <c:extLst xmlns:c15="http://schemas.microsoft.com/office/drawing/2012/chart">
                      <c:ext xmlns:c15="http://schemas.microsoft.com/office/drawing/2012/chart" uri="{02D57815-91ED-43cb-92C2-25804820EDAC}">
                        <c15:formulaRef>
                          <c15:sqref>'MotorVAR + RVSS'!$EU$67</c15:sqref>
                        </c15:formulaRef>
                      </c:ext>
                    </c:extLst>
                    <c:strCache>
                      <c:ptCount val="1"/>
                    </c:strCache>
                  </c:strRef>
                </c:tx>
                <c:spPr>
                  <a:solidFill>
                    <a:schemeClr val="accent3">
                      <a:lumMod val="70000"/>
                    </a:schemeClr>
                  </a:solidFill>
                  <a:ln>
                    <a:noFill/>
                  </a:ln>
                  <a:effectLst/>
                </c:spPr>
                <c:invertIfNegative val="0"/>
                <c:cat>
                  <c:strRef>
                    <c:extLst xmlns:c15="http://schemas.microsoft.com/office/drawing/2012/chart">
                      <c:ext xmlns:c15="http://schemas.microsoft.com/office/drawing/2012/chart" uri="{02D57815-91ED-43cb-92C2-25804820EDAC}">
                        <c15:formulaRef>
                          <c15:sqref>'MotorVAR + RVSS'!$DB$68:$DB$73</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'MotorVAR + RVSS'!$EU$68:$EU$73</c15:sqref>
                        </c15:formulaRef>
                      </c:ext>
                    </c:extLst>
                    <c:numCache>
                      <c:formatCode>0%</c:formatCode>
                      <c:ptCount val="6"/>
                    </c:numCache>
                  </c:numRef>
                </c:val>
                <c:extLst xmlns:c15="http://schemas.microsoft.com/office/drawing/2012/chart">
                  <c:ext xmlns:c16="http://schemas.microsoft.com/office/drawing/2014/chart" uri="{C3380CC4-5D6E-409C-BE32-E72D297353CC}">
                    <c16:uniqueId val="{0000002C-BD09-410E-8C89-886403868FA5}"/>
                  </c:ext>
                </c:extLst>
              </c15:ser>
            </c15:filteredBarSeries>
          </c:ext>
        </c:extLst>
      </c:barChart>
      <c:catAx>
        <c:axId val="2109558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210947200"/>
        <c:crosses val="autoZero"/>
        <c:auto val="1"/>
        <c:lblAlgn val="ctr"/>
        <c:lblOffset val="100"/>
        <c:noMultiLvlLbl val="0"/>
      </c:catAx>
      <c:valAx>
        <c:axId val="21094720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210955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9525" cap="flat" cmpd="sng" algn="ctr">
      <a:solidFill>
        <a:srgbClr val="0E9ED9"/>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rgbClr val="0E9ED9"/>
                </a:solidFill>
              </a:rPr>
              <a:t>Assisted Versus Unassisted Motor Start Performance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8494610892716213"/>
          <c:y val="0.1257150946086216"/>
          <c:w val="0.57662370172551447"/>
          <c:h val="0.72475843597024325"/>
        </c:manualLayout>
      </c:layout>
      <c:barChart>
        <c:barDir val="bar"/>
        <c:grouping val="clustered"/>
        <c:varyColors val="0"/>
        <c:ser>
          <c:idx val="0"/>
          <c:order val="0"/>
          <c:tx>
            <c:strRef>
              <c:f>'DOL-MotorVAR-Capative XFMR'!$DR$99</c:f>
              <c:strCache>
                <c:ptCount val="1"/>
                <c:pt idx="0">
                  <c:v>Unassisted</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'DOL-MotorVAR-Capative XFMR'!$DD$100:$DQ$105</c:f>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f>'DOL-MotorVAR-Capative XFMR'!$DR$100:$DR$105</c:f>
              <c:numCache>
                <c:formatCode>0.0%</c:formatCode>
                <c:ptCount val="6"/>
                <c:pt idx="0">
                  <c:v>3.8236686886137434</c:v>
                </c:pt>
                <c:pt idx="1">
                  <c:v>3.8236686886137434</c:v>
                </c:pt>
                <c:pt idx="2">
                  <c:v>0.3460459701842637</c:v>
                </c:pt>
                <c:pt idx="3">
                  <c:v>0.74453654292312221</c:v>
                </c:pt>
                <c:pt idx="4">
                  <c:v>0.71051547751521271</c:v>
                </c:pt>
                <c:pt idx="5">
                  <c:v>0.58825672132519069</c:v>
                </c:pt>
              </c:numCache>
            </c:numRef>
          </c:val>
          <c:extLst>
            <c:ext xmlns:c16="http://schemas.microsoft.com/office/drawing/2014/chart" uri="{C3380CC4-5D6E-409C-BE32-E72D297353CC}">
              <c16:uniqueId val="{00000000-B7B6-433F-9319-E55D1CDCA0E2}"/>
            </c:ext>
          </c:extLst>
        </c:ser>
        <c:ser>
          <c:idx val="11"/>
          <c:order val="11"/>
          <c:tx>
            <c:strRef>
              <c:f>'DOL-MotorVAR-Capative XFMR'!$EC$99</c:f>
              <c:strCache>
                <c:ptCount val="1"/>
                <c:pt idx="0">
                  <c:v>MotorVAR Assisted</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'DOL-MotorVAR-Capative XFMR'!$DD$100:$DQ$105</c:f>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f>'DOL-MotorVAR-Capative XFMR'!$EC$100:$EC$105</c:f>
              <c:numCache>
                <c:formatCode>0.0%</c:formatCode>
                <c:ptCount val="6"/>
                <c:pt idx="0">
                  <c:v>5.958095288697832</c:v>
                </c:pt>
                <c:pt idx="1">
                  <c:v>1.4683620742929195</c:v>
                </c:pt>
                <c:pt idx="2">
                  <c:v>0.8402106383243384</c:v>
                </c:pt>
                <c:pt idx="3">
                  <c:v>0.92570623971685539</c:v>
                </c:pt>
                <c:pt idx="4">
                  <c:v>0.91709109627554752</c:v>
                </c:pt>
                <c:pt idx="5">
                  <c:v>0.88137504270677991</c:v>
                </c:pt>
              </c:numCache>
            </c:numRef>
          </c:val>
          <c:extLst>
            <c:ext xmlns:c16="http://schemas.microsoft.com/office/drawing/2014/chart" uri="{C3380CC4-5D6E-409C-BE32-E72D297353CC}">
              <c16:uniqueId val="{00000001-B7B6-433F-9319-E55D1CDCA0E2}"/>
            </c:ext>
          </c:extLst>
        </c:ser>
        <c:dLbls>
          <c:dLblPos val="outEnd"/>
          <c:showLegendKey val="0"/>
          <c:showVal val="1"/>
          <c:showCatName val="0"/>
          <c:showSerName val="0"/>
          <c:showPercent val="0"/>
          <c:showBubbleSize val="0"/>
        </c:dLbls>
        <c:gapWidth val="182"/>
        <c:axId val="1471576816"/>
        <c:axId val="1471586416"/>
        <c:extLst>
          <c:ext xmlns:c15="http://schemas.microsoft.com/office/drawing/2012/chart" uri="{02D57815-91ED-43cb-92C2-25804820EDAC}">
            <c15:filteredBarSeries>
              <c15:ser>
                <c:idx val="1"/>
                <c:order val="1"/>
                <c:tx>
                  <c:strRef>
                    <c:extLst>
                      <c:ext uri="{02D57815-91ED-43cb-92C2-25804820EDAC}">
                        <c15:formulaRef>
                          <c15:sqref>'DOL-MotorVAR-Capative XFMR'!$DS$99</c15:sqref>
                        </c15:formulaRef>
                      </c:ext>
                    </c:extLst>
                    <c:strCache>
                      <c:ptCount val="1"/>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c:ext uri="{02D57815-91ED-43cb-92C2-25804820EDAC}">
                        <c15:formulaRef>
                          <c15:sqref>'DOL-MotorVAR-Capative XFMR'!$DS$100:$DS$105</c15:sqref>
                        </c15:formulaRef>
                      </c:ext>
                    </c:extLst>
                    <c:numCache>
                      <c:formatCode>0.0%</c:formatCode>
                      <c:ptCount val="6"/>
                    </c:numCache>
                  </c:numRef>
                </c:val>
                <c:extLst>
                  <c:ext xmlns:c16="http://schemas.microsoft.com/office/drawing/2014/chart" uri="{C3380CC4-5D6E-409C-BE32-E72D297353CC}">
                    <c16:uniqueId val="{00000002-B7B6-433F-9319-E55D1CDCA0E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'DOL-MotorVAR-Capative XFMR'!$DT$99</c15:sqref>
                        </c15:formulaRef>
                      </c:ext>
                    </c:extLst>
                    <c:strCache>
                      <c:ptCount val="1"/>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XFMR'!$DT$100:$DT$105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3-B7B6-433F-9319-E55D1CDCA0E2}"/>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'DOL-MotorVAR-Capative XFMR'!$DU$99</c15:sqref>
                        </c15:formulaRef>
                      </c:ext>
                    </c:extLst>
                    <c:strCache>
                      <c:ptCount val="1"/>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XFMR'!$DU$100:$DU$105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4-B7B6-433F-9319-E55D1CDCA0E2}"/>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'DOL-MotorVAR-Capative XFMR'!$DV$99</c15:sqref>
                        </c15:formulaRef>
                      </c:ext>
                    </c:extLst>
                    <c:strCache>
                      <c:ptCount val="1"/>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XFMR'!$DV$100:$DV$105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5-B7B6-433F-9319-E55D1CDCA0E2}"/>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'DOL-MotorVAR-Capative XFMR'!$DW$99</c15:sqref>
                        </c15:formulaRef>
                      </c:ext>
                    </c:extLst>
                    <c:strCache>
                      <c:ptCount val="1"/>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XFMR'!$DW$100:$DW$105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6-B7B6-433F-9319-E55D1CDCA0E2}"/>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'DOL-MotorVAR-Capative XFMR'!$DX$99</c15:sqref>
                        </c15:formulaRef>
                      </c:ext>
                    </c:extLst>
                    <c:strCache>
                      <c:ptCount val="1"/>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XFMR'!$DX$100:$DX$105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7-B7B6-433F-9319-E55D1CDCA0E2}"/>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'DOL-MotorVAR-Capative XFMR'!$DY$99</c15:sqref>
                        </c15:formulaRef>
                      </c:ext>
                    </c:extLst>
                    <c:strCache>
                      <c:ptCount val="1"/>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XFMR'!$DY$100:$DY$105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8-B7B6-433F-9319-E55D1CDCA0E2}"/>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'DOL-MotorVAR-Capative XFMR'!$DZ$99</c15:sqref>
                        </c15:formulaRef>
                      </c:ext>
                    </c:extLst>
                    <c:strCache>
                      <c:ptCount val="1"/>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XFMR'!$DZ$100:$DZ$105</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9-B7B6-433F-9319-E55D1CDCA0E2}"/>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'DOL-MotorVAR-Capative XFMR'!$EA$99</c15:sqref>
                        </c15:formulaRef>
                      </c:ext>
                    </c:extLst>
                    <c:strCache>
                      <c:ptCount val="1"/>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XFMR'!$EA$100:$EA$105</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A-B7B6-433F-9319-E55D1CDCA0E2}"/>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'DOL-MotorVAR-Capative XFMR'!$EB$99</c15:sqref>
                        </c15:formulaRef>
                      </c:ext>
                    </c:extLst>
                    <c:strCache>
                      <c:ptCount val="1"/>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XFMR'!$EB$100:$EB$105</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B-B7B6-433F-9319-E55D1CDCA0E2}"/>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'DOL-MotorVAR-Capative XFMR'!$ED$99</c15:sqref>
                        </c15:formulaRef>
                      </c:ext>
                    </c:extLst>
                    <c:strCache>
                      <c:ptCount val="1"/>
                    </c:strCache>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XFMR'!$ED$100:$ED$105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C-B7B6-433F-9319-E55D1CDCA0E2}"/>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'DOL-MotorVAR-Capative XFMR'!$EE$99</c15:sqref>
                        </c15:formulaRef>
                      </c:ext>
                    </c:extLst>
                    <c:strCache>
                      <c:ptCount val="1"/>
                    </c:strCache>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XFMR'!$EE$100:$EE$105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D-B7B6-433F-9319-E55D1CDCA0E2}"/>
                  </c:ext>
                </c:extLst>
              </c15:ser>
            </c15:filteredBarSeries>
            <c15:filteredBarSeries>
              <c15:ser>
                <c:idx val="14"/>
                <c:order val="14"/>
                <c:tx>
                  <c:strRef>
                    <c:extLst xmlns:c15="http://schemas.microsoft.com/office/drawing/2012/chart">
                      <c:ext xmlns:c15="http://schemas.microsoft.com/office/drawing/2012/chart" uri="{02D57815-91ED-43cb-92C2-25804820EDAC}">
                        <c15:formulaRef>
                          <c15:sqref>'DOL-MotorVAR-Capative XFMR'!$EF$99</c15:sqref>
                        </c15:formulaRef>
                      </c:ext>
                    </c:extLst>
                    <c:strCache>
                      <c:ptCount val="1"/>
                    </c:strCache>
                  </c:strRef>
                </c:tx>
                <c:spPr>
                  <a:solidFill>
                    <a:schemeClr val="accent3">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XFMR'!$EF$100:$EF$105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E-B7B6-433F-9319-E55D1CDCA0E2}"/>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'DOL-MotorVAR-Capative XFMR'!$EG$99</c15:sqref>
                        </c15:formulaRef>
                      </c:ext>
                    </c:extLst>
                    <c:strCache>
                      <c:ptCount val="1"/>
                    </c:strCache>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XFMR'!$EG$100:$EG$105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F-B7B6-433F-9319-E55D1CDCA0E2}"/>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'DOL-MotorVAR-Capative XFMR'!$EH$99</c15:sqref>
                        </c15:formulaRef>
                      </c:ext>
                    </c:extLst>
                    <c:strCache>
                      <c:ptCount val="1"/>
                    </c:strCache>
                  </c:strRef>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XFMR'!$EH$100:$EH$105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0-B7B6-433F-9319-E55D1CDCA0E2}"/>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'DOL-MotorVAR-Capative XFMR'!$EI$99</c15:sqref>
                        </c15:formulaRef>
                      </c:ext>
                    </c:extLst>
                    <c:strCache>
                      <c:ptCount val="1"/>
                    </c:strCache>
                  </c:strRef>
                </c:tx>
                <c:spPr>
                  <a:solidFill>
                    <a:schemeClr val="accent6">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'DOL-MotorVAR-Capative XFMR'!$DD$100:$DQ$105</c15:sqref>
                        </c15:formulaRef>
                      </c:ext>
                    </c:extLst>
                    <c:strCache>
                      <c:ptCount val="6"/>
                      <c:pt idx="0">
                        <c:v>Motor Starting Current (% of FLA):</c:v>
                      </c:pt>
                      <c:pt idx="1">
                        <c:v>Inrush current seen by system (% of FLA):</c:v>
                      </c:pt>
                      <c:pt idx="2">
                        <c:v>Percent of Rated Started Torque:</c:v>
                      </c:pt>
                      <c:pt idx="3">
                        <c:v>Voltage at Primary (PCC) 34.5 kV Bus:</c:v>
                      </c:pt>
                      <c:pt idx="4">
                        <c:v>Voltage at 12.47 kV Secondary Bus:</c:v>
                      </c:pt>
                      <c:pt idx="5">
                        <c:v>Voltage at 4.16 kV Motor Bus:</c:v>
                      </c:pt>
                    </c:strCache>
                  </c:strRef>
                </c:cat>
                <c:val>
                  <c:numRef>
                    <c:extLst xmlns:c15="http://schemas.microsoft.com/office/drawing/2012/chart">
                      <c:ext xmlns:c15="http://schemas.microsoft.com/office/drawing/2012/chart" uri="{02D57815-91ED-43cb-92C2-25804820EDAC}">
                        <c15:formulaRef>
                          <c15:sqref>'DOL-MotorVAR-Capative XFMR'!$EI$100:$EI$105</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1-B7B6-433F-9319-E55D1CDCA0E2}"/>
                  </c:ext>
                </c:extLst>
              </c15:ser>
            </c15:filteredBarSeries>
          </c:ext>
        </c:extLst>
      </c:barChart>
      <c:catAx>
        <c:axId val="1471576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471586416"/>
        <c:crosses val="autoZero"/>
        <c:auto val="1"/>
        <c:lblAlgn val="ctr"/>
        <c:lblOffset val="100"/>
        <c:noMultiLvlLbl val="0"/>
      </c:catAx>
      <c:valAx>
        <c:axId val="14715864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1576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9525" cap="flat" cmpd="sng" algn="ctr">
      <a:solidFill>
        <a:srgbClr val="0E9ED9"/>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rgbClr val="00B0F0"/>
                </a:solidFill>
              </a:rPr>
              <a:t>Assisted Versus Unassisted Starting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4"/>
          <c:order val="14"/>
          <c:tx>
            <c:strRef>
              <c:f>'DOL-MotorVAR + Reactor'!$DP$60</c:f>
              <c:strCache>
                <c:ptCount val="1"/>
                <c:pt idx="0">
                  <c:v>Unassisted Start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'DOL-MotorVAR + Reactor'!$DA$61:$DA$66</c:f>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f>'DOL-MotorVAR + Reactor'!$DP$61:$DP$66</c:f>
              <c:numCache>
                <c:formatCode>0.0%</c:formatCode>
                <c:ptCount val="6"/>
                <c:pt idx="0">
                  <c:v>3.1253686549847539</c:v>
                </c:pt>
                <c:pt idx="1">
                  <c:v>0.62507373099695185</c:v>
                </c:pt>
                <c:pt idx="2">
                  <c:v>0.39071716918244831</c:v>
                </c:pt>
                <c:pt idx="3">
                  <c:v>0.66898648828175133</c:v>
                </c:pt>
                <c:pt idx="4">
                  <c:v>0.62507373099695185</c:v>
                </c:pt>
                <c:pt idx="5">
                  <c:v>3.1253686549847539</c:v>
                </c:pt>
              </c:numCache>
            </c:numRef>
          </c:val>
          <c:extLst>
            <c:ext xmlns:c16="http://schemas.microsoft.com/office/drawing/2014/chart" uri="{C3380CC4-5D6E-409C-BE32-E72D297353CC}">
              <c16:uniqueId val="{0000000E-BCA0-45E8-81A7-1F86C2213AE9}"/>
            </c:ext>
          </c:extLst>
        </c:ser>
        <c:ser>
          <c:idx val="23"/>
          <c:order val="23"/>
          <c:tx>
            <c:strRef>
              <c:f>'DOL-MotorVAR + Reactor'!$DY$60</c:f>
              <c:strCache>
                <c:ptCount val="1"/>
                <c:pt idx="0">
                  <c:v>MotorVAR Assisted</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'DOL-MotorVAR + Reactor'!$DA$61:$DA$66</c:f>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f>'DOL-MotorVAR + Reactor'!$DY$61:$DY$66</c:f>
              <c:numCache>
                <c:formatCode>0.0%</c:formatCode>
                <c:ptCount val="6"/>
                <c:pt idx="0">
                  <c:v>4.1304903656823431</c:v>
                </c:pt>
                <c:pt idx="1">
                  <c:v>0.82609807313647088</c:v>
                </c:pt>
                <c:pt idx="2">
                  <c:v>0.68243802643978635</c:v>
                </c:pt>
                <c:pt idx="3">
                  <c:v>0.84545253825086331</c:v>
                </c:pt>
                <c:pt idx="4">
                  <c:v>0.82609807313647088</c:v>
                </c:pt>
                <c:pt idx="5">
                  <c:v>1.5627822337571433</c:v>
                </c:pt>
              </c:numCache>
            </c:numRef>
          </c:val>
          <c:extLst>
            <c:ext xmlns:c16="http://schemas.microsoft.com/office/drawing/2014/chart" uri="{C3380CC4-5D6E-409C-BE32-E72D297353CC}">
              <c16:uniqueId val="{00000017-BCA0-45E8-81A7-1F86C2213AE9}"/>
            </c:ext>
          </c:extLst>
        </c:ser>
        <c:ser>
          <c:idx val="32"/>
          <c:order val="32"/>
          <c:tx>
            <c:strRef>
              <c:f>'DOL-MotorVAR + Reactor'!$EH$60</c:f>
              <c:strCache>
                <c:ptCount val="1"/>
                <c:pt idx="0">
                  <c:v>MotorVAR + Reactor Assisted</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'DOL-MotorVAR + Reactor'!$DA$61:$DA$66</c:f>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f>'DOL-MotorVAR + Reactor'!$EH$61:$EH$66</c:f>
              <c:numCache>
                <c:formatCode>0.0%</c:formatCode>
                <c:ptCount val="6"/>
                <c:pt idx="0">
                  <c:v>3.4466636303732439</c:v>
                </c:pt>
                <c:pt idx="1">
                  <c:v>0.68933272607464968</c:v>
                </c:pt>
                <c:pt idx="2">
                  <c:v>0.4751796072375068</c:v>
                </c:pt>
                <c:pt idx="3">
                  <c:v>0.96542709792916226</c:v>
                </c:pt>
                <c:pt idx="4">
                  <c:v>0.96169973490241467</c:v>
                </c:pt>
                <c:pt idx="5">
                  <c:v>0.55935121169767221</c:v>
                </c:pt>
              </c:numCache>
            </c:numRef>
          </c:val>
          <c:extLst>
            <c:ext xmlns:c16="http://schemas.microsoft.com/office/drawing/2014/chart" uri="{C3380CC4-5D6E-409C-BE32-E72D297353CC}">
              <c16:uniqueId val="{00000020-BCA0-45E8-81A7-1F86C2213AE9}"/>
            </c:ext>
          </c:extLst>
        </c:ser>
        <c:dLbls>
          <c:showLegendKey val="0"/>
          <c:showVal val="0"/>
          <c:showCatName val="0"/>
          <c:showSerName val="0"/>
          <c:showPercent val="0"/>
          <c:showBubbleSize val="0"/>
        </c:dLbls>
        <c:gapWidth val="182"/>
        <c:axId val="1695925823"/>
        <c:axId val="1695921503"/>
        <c:extLst>
          <c:ext xmlns:c15="http://schemas.microsoft.com/office/drawing/2012/chart" uri="{02D57815-91ED-43cb-92C2-25804820EDAC}">
            <c15:filteredBarSeries>
              <c15:ser>
                <c:idx val="0"/>
                <c:order val="0"/>
                <c:tx>
                  <c:strRef>
                    <c:extLst>
                      <c:ext uri="{02D57815-91ED-43cb-92C2-25804820EDAC}">
                        <c15:formulaRef>
                          <c15:sqref>'DOL-MotorVAR + Reactor'!$DB$60</c15:sqref>
                        </c15:formulaRef>
                      </c:ext>
                    </c:extLst>
                    <c:strCache>
                      <c:ptCount val="1"/>
                    </c:strCache>
                  </c:strRef>
                </c:tx>
                <c:spPr>
                  <a:solidFill>
                    <a:schemeClr val="accent1"/>
                  </a:solidFill>
                  <a:ln>
                    <a:noFill/>
                  </a:ln>
                  <a:effectLst/>
                </c:spPr>
                <c:invertIfNegative val="0"/>
                <c:cat>
                  <c:strRef>
                    <c:extLst>
                      <c:ex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c:ext uri="{02D57815-91ED-43cb-92C2-25804820EDAC}">
                        <c15:formulaRef>
                          <c15:sqref>'DOL-MotorVAR + Reactor'!$DB$61:$DB$66</c15:sqref>
                        </c15:formulaRef>
                      </c:ext>
                    </c:extLst>
                    <c:numCache>
                      <c:formatCode>General</c:formatCode>
                      <c:ptCount val="6"/>
                    </c:numCache>
                  </c:numRef>
                </c:val>
                <c:extLst>
                  <c:ext xmlns:c16="http://schemas.microsoft.com/office/drawing/2014/chart" uri="{C3380CC4-5D6E-409C-BE32-E72D297353CC}">
                    <c16:uniqueId val="{00000000-BCA0-45E8-81A7-1F86C2213AE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'DOL-MotorVAR + Reactor'!$DC$60</c15:sqref>
                        </c15:formulaRef>
                      </c:ext>
                    </c:extLst>
                    <c:strCache>
                      <c:ptCount val="1"/>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Reactor'!$DC$61:$DC$66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1-BCA0-45E8-81A7-1F86C2213AE9}"/>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'DOL-MotorVAR + Reactor'!$DD$60</c15:sqref>
                        </c15:formulaRef>
                      </c:ext>
                    </c:extLst>
                    <c:strCache>
                      <c:ptCount val="1"/>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Reactor'!$DD$61:$DD$66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2-BCA0-45E8-81A7-1F86C2213AE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'DOL-MotorVAR + Reactor'!$DE$60</c15:sqref>
                        </c15:formulaRef>
                      </c:ext>
                    </c:extLst>
                    <c:strCache>
                      <c:ptCount val="1"/>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Reactor'!$DE$61:$DE$66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3-BCA0-45E8-81A7-1F86C2213AE9}"/>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'DOL-MotorVAR + Reactor'!$DF$60</c15:sqref>
                        </c15:formulaRef>
                      </c:ext>
                    </c:extLst>
                    <c:strCache>
                      <c:ptCount val="1"/>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Reactor'!$DF$61:$DF$66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4-BCA0-45E8-81A7-1F86C2213AE9}"/>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'DOL-MotorVAR + Reactor'!$DG$60</c15:sqref>
                        </c15:formulaRef>
                      </c:ext>
                    </c:extLst>
                    <c:strCache>
                      <c:ptCount val="1"/>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Reactor'!$DG$61:$DG$66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5-BCA0-45E8-81A7-1F86C2213AE9}"/>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'DOL-MotorVAR + Reactor'!$DH$60</c15:sqref>
                        </c15:formulaRef>
                      </c:ext>
                    </c:extLst>
                    <c:strCache>
                      <c:ptCount val="1"/>
                    </c:strCache>
                  </c:strRef>
                </c:tx>
                <c:spPr>
                  <a:solidFill>
                    <a:schemeClr val="accent1">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Reactor'!$DH$61:$DH$66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6-BCA0-45E8-81A7-1F86C2213AE9}"/>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'DOL-MotorVAR + Reactor'!$DI$60</c15:sqref>
                        </c15:formulaRef>
                      </c:ext>
                    </c:extLst>
                    <c:strCache>
                      <c:ptCount val="1"/>
                    </c:strCache>
                  </c:strRef>
                </c:tx>
                <c:spPr>
                  <a:solidFill>
                    <a:schemeClr val="accent2">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Reactor'!$DI$61:$DI$66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7-BCA0-45E8-81A7-1F86C2213AE9}"/>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'DOL-MotorVAR + Reactor'!$DJ$60</c15:sqref>
                        </c15:formulaRef>
                      </c:ext>
                    </c:extLst>
                    <c:strCache>
                      <c:ptCount val="1"/>
                    </c:strCache>
                  </c:strRef>
                </c:tx>
                <c:spPr>
                  <a:solidFill>
                    <a:schemeClr val="accent3">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Reactor'!$DJ$61:$DJ$66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8-BCA0-45E8-81A7-1F86C2213AE9}"/>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'DOL-MotorVAR + Reactor'!$DK$60</c15:sqref>
                        </c15:formulaRef>
                      </c:ext>
                    </c:extLst>
                    <c:strCache>
                      <c:ptCount val="1"/>
                    </c:strCache>
                  </c:strRef>
                </c:tx>
                <c:spPr>
                  <a:solidFill>
                    <a:schemeClr val="accent4">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Reactor'!$DK$61:$DK$66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9-BCA0-45E8-81A7-1F86C2213AE9}"/>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'DOL-MotorVAR + Reactor'!$DL$60</c15:sqref>
                        </c15:formulaRef>
                      </c:ext>
                    </c:extLst>
                    <c:strCache>
                      <c:ptCount val="1"/>
                    </c:strCache>
                  </c:strRef>
                </c:tx>
                <c:spPr>
                  <a:solidFill>
                    <a:schemeClr val="accent5">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Reactor'!$DL$61:$DL$66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A-BCA0-45E8-81A7-1F86C2213AE9}"/>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'DOL-MotorVAR + Reactor'!$DM$60</c15:sqref>
                        </c15:formulaRef>
                      </c:ext>
                    </c:extLst>
                    <c:strCache>
                      <c:ptCount val="1"/>
                    </c:strCache>
                  </c:strRef>
                </c:tx>
                <c:spPr>
                  <a:solidFill>
                    <a:schemeClr val="accent6">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Reactor'!$DM$61:$DM$66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B-BCA0-45E8-81A7-1F86C2213AE9}"/>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'DOL-MotorVAR + Reactor'!$DN$60</c15:sqref>
                        </c15:formulaRef>
                      </c:ext>
                    </c:extLst>
                    <c:strCache>
                      <c:ptCount val="1"/>
                    </c:strCache>
                  </c:strRef>
                </c:tx>
                <c:spPr>
                  <a:solidFill>
                    <a:schemeClr val="accent1">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Reactor'!$DN$61:$DN$66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C-BCA0-45E8-81A7-1F86C2213AE9}"/>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'DOL-MotorVAR + Reactor'!$DO$60</c15:sqref>
                        </c15:formulaRef>
                      </c:ext>
                    </c:extLst>
                    <c:strCache>
                      <c:ptCount val="1"/>
                    </c:strCache>
                  </c:strRef>
                </c:tx>
                <c:spPr>
                  <a:solidFill>
                    <a:schemeClr val="accent2">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Reactor'!$DO$61:$DO$66</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D-BCA0-45E8-81A7-1F86C2213AE9}"/>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'DOL-MotorVAR + Reactor'!$DQ$60</c15:sqref>
                        </c15:formulaRef>
                      </c:ext>
                    </c:extLst>
                    <c:strCache>
                      <c:ptCount val="1"/>
                    </c:strCache>
                  </c:strRef>
                </c:tx>
                <c:spPr>
                  <a:solidFill>
                    <a:schemeClr val="accent4">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Reactor'!$DQ$61:$DQ$66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0F-BCA0-45E8-81A7-1F86C2213AE9}"/>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'DOL-MotorVAR + Reactor'!$DR$60</c15:sqref>
                        </c15:formulaRef>
                      </c:ext>
                    </c:extLst>
                    <c:strCache>
                      <c:ptCount val="1"/>
                    </c:strCache>
                  </c:strRef>
                </c:tx>
                <c:spPr>
                  <a:solidFill>
                    <a:schemeClr val="accent5">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Reactor'!$DR$61:$DR$66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0-BCA0-45E8-81A7-1F86C2213AE9}"/>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'DOL-MotorVAR + Reactor'!$DS$60</c15:sqref>
                        </c15:formulaRef>
                      </c:ext>
                    </c:extLst>
                    <c:strCache>
                      <c:ptCount val="1"/>
                    </c:strCache>
                  </c:strRef>
                </c:tx>
                <c:spPr>
                  <a:solidFill>
                    <a:schemeClr val="accent6">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Reactor'!$DS$61:$DS$66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1-BCA0-45E8-81A7-1F86C2213AE9}"/>
                  </c:ext>
                </c:extLst>
              </c15:ser>
            </c15:filteredBarSeries>
            <c15:filteredBarSeries>
              <c15:ser>
                <c:idx val="18"/>
                <c:order val="18"/>
                <c:tx>
                  <c:strRef>
                    <c:extLst xmlns:c15="http://schemas.microsoft.com/office/drawing/2012/chart">
                      <c:ext xmlns:c15="http://schemas.microsoft.com/office/drawing/2012/chart" uri="{02D57815-91ED-43cb-92C2-25804820EDAC}">
                        <c15:formulaRef>
                          <c15:sqref>'DOL-MotorVAR + Reactor'!$DT$60</c15:sqref>
                        </c15:formulaRef>
                      </c:ext>
                    </c:extLst>
                    <c:strCache>
                      <c:ptCount val="1"/>
                    </c:strCache>
                  </c:strRef>
                </c:tx>
                <c:spPr>
                  <a:solidFill>
                    <a:schemeClr val="accent1">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Reactor'!$DT$61:$DT$66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2-BCA0-45E8-81A7-1F86C2213AE9}"/>
                  </c:ext>
                </c:extLst>
              </c15:ser>
            </c15:filteredBarSeries>
            <c15:filteredBarSeries>
              <c15:ser>
                <c:idx val="19"/>
                <c:order val="19"/>
                <c:tx>
                  <c:strRef>
                    <c:extLst xmlns:c15="http://schemas.microsoft.com/office/drawing/2012/chart">
                      <c:ext xmlns:c15="http://schemas.microsoft.com/office/drawing/2012/chart" uri="{02D57815-91ED-43cb-92C2-25804820EDAC}">
                        <c15:formulaRef>
                          <c15:sqref>'DOL-MotorVAR + Reactor'!$DU$60</c15:sqref>
                        </c15:formulaRef>
                      </c:ext>
                    </c:extLst>
                    <c:strCache>
                      <c:ptCount val="1"/>
                    </c:strCache>
                  </c:strRef>
                </c:tx>
                <c:spPr>
                  <a:solidFill>
                    <a:schemeClr val="accent2">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Reactor'!$DU$61:$DU$66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3-BCA0-45E8-81A7-1F86C2213AE9}"/>
                  </c:ext>
                </c:extLst>
              </c15:ser>
            </c15:filteredBarSeries>
            <c15:filteredBarSeries>
              <c15:ser>
                <c:idx val="20"/>
                <c:order val="20"/>
                <c:tx>
                  <c:strRef>
                    <c:extLst xmlns:c15="http://schemas.microsoft.com/office/drawing/2012/chart">
                      <c:ext xmlns:c15="http://schemas.microsoft.com/office/drawing/2012/chart" uri="{02D57815-91ED-43cb-92C2-25804820EDAC}">
                        <c15:formulaRef>
                          <c15:sqref>'DOL-MotorVAR + Reactor'!$DV$60</c15:sqref>
                        </c15:formulaRef>
                      </c:ext>
                    </c:extLst>
                    <c:strCache>
                      <c:ptCount val="1"/>
                    </c:strCache>
                  </c:strRef>
                </c:tx>
                <c:spPr>
                  <a:solidFill>
                    <a:schemeClr val="accent3">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Reactor'!$DV$61:$DV$66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4-BCA0-45E8-81A7-1F86C2213AE9}"/>
                  </c:ext>
                </c:extLst>
              </c15:ser>
            </c15:filteredBarSeries>
            <c15:filteredBarSeries>
              <c15:ser>
                <c:idx val="21"/>
                <c:order val="21"/>
                <c:tx>
                  <c:strRef>
                    <c:extLst xmlns:c15="http://schemas.microsoft.com/office/drawing/2012/chart">
                      <c:ext xmlns:c15="http://schemas.microsoft.com/office/drawing/2012/chart" uri="{02D57815-91ED-43cb-92C2-25804820EDAC}">
                        <c15:formulaRef>
                          <c15:sqref>'DOL-MotorVAR + Reactor'!$DW$60</c15:sqref>
                        </c15:formulaRef>
                      </c:ext>
                    </c:extLst>
                    <c:strCache>
                      <c:ptCount val="1"/>
                    </c:strCache>
                  </c:strRef>
                </c:tx>
                <c:spPr>
                  <a:solidFill>
                    <a:schemeClr val="accent4">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Reactor'!$DW$61:$DW$66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5-BCA0-45E8-81A7-1F86C2213AE9}"/>
                  </c:ext>
                </c:extLst>
              </c15:ser>
            </c15:filteredBarSeries>
            <c15:filteredBarSeries>
              <c15:ser>
                <c:idx val="22"/>
                <c:order val="22"/>
                <c:tx>
                  <c:strRef>
                    <c:extLst xmlns:c15="http://schemas.microsoft.com/office/drawing/2012/chart">
                      <c:ext xmlns:c15="http://schemas.microsoft.com/office/drawing/2012/chart" uri="{02D57815-91ED-43cb-92C2-25804820EDAC}">
                        <c15:formulaRef>
                          <c15:sqref>'DOL-MotorVAR + Reactor'!$DX$60</c15:sqref>
                        </c15:formulaRef>
                      </c:ext>
                    </c:extLst>
                    <c:strCache>
                      <c:ptCount val="1"/>
                    </c:strCache>
                  </c:strRef>
                </c:tx>
                <c:spPr>
                  <a:solidFill>
                    <a:schemeClr val="accent5">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Reactor'!$DX$61:$DX$66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6-BCA0-45E8-81A7-1F86C2213AE9}"/>
                  </c:ext>
                </c:extLst>
              </c15:ser>
            </c15:filteredBarSeries>
            <c15:filteredBarSeries>
              <c15:ser>
                <c:idx val="24"/>
                <c:order val="24"/>
                <c:tx>
                  <c:strRef>
                    <c:extLst xmlns:c15="http://schemas.microsoft.com/office/drawing/2012/chart">
                      <c:ext xmlns:c15="http://schemas.microsoft.com/office/drawing/2012/chart" uri="{02D57815-91ED-43cb-92C2-25804820EDAC}">
                        <c15:formulaRef>
                          <c15:sqref>'DOL-MotorVAR + Reactor'!$DZ$60</c15:sqref>
                        </c15:formulaRef>
                      </c:ext>
                    </c:extLst>
                    <c:strCache>
                      <c:ptCount val="1"/>
                    </c:strCache>
                  </c:strRef>
                </c:tx>
                <c:spPr>
                  <a:solidFill>
                    <a:schemeClr val="accent1">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Reactor'!$DZ$61:$DZ$66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8-BCA0-45E8-81A7-1F86C2213AE9}"/>
                  </c:ext>
                </c:extLst>
              </c15:ser>
            </c15:filteredBarSeries>
            <c15:filteredBarSeries>
              <c15:ser>
                <c:idx val="25"/>
                <c:order val="25"/>
                <c:tx>
                  <c:strRef>
                    <c:extLst xmlns:c15="http://schemas.microsoft.com/office/drawing/2012/chart">
                      <c:ext xmlns:c15="http://schemas.microsoft.com/office/drawing/2012/chart" uri="{02D57815-91ED-43cb-92C2-25804820EDAC}">
                        <c15:formulaRef>
                          <c15:sqref>'DOL-MotorVAR + Reactor'!$EA$60</c15:sqref>
                        </c15:formulaRef>
                      </c:ext>
                    </c:extLst>
                    <c:strCache>
                      <c:ptCount val="1"/>
                    </c:strCache>
                  </c:strRef>
                </c:tx>
                <c:spPr>
                  <a:solidFill>
                    <a:schemeClr val="accent2">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Reactor'!$EA$61:$EA$66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9-BCA0-45E8-81A7-1F86C2213AE9}"/>
                  </c:ext>
                </c:extLst>
              </c15:ser>
            </c15:filteredBarSeries>
            <c15:filteredBarSeries>
              <c15:ser>
                <c:idx val="26"/>
                <c:order val="26"/>
                <c:tx>
                  <c:strRef>
                    <c:extLst xmlns:c15="http://schemas.microsoft.com/office/drawing/2012/chart">
                      <c:ext xmlns:c15="http://schemas.microsoft.com/office/drawing/2012/chart" uri="{02D57815-91ED-43cb-92C2-25804820EDAC}">
                        <c15:formulaRef>
                          <c15:sqref>'DOL-MotorVAR + Reactor'!$EB$60</c15:sqref>
                        </c15:formulaRef>
                      </c:ext>
                    </c:extLst>
                    <c:strCache>
                      <c:ptCount val="1"/>
                    </c:strCache>
                  </c:strRef>
                </c:tx>
                <c:spPr>
                  <a:solidFill>
                    <a:schemeClr val="accent3">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Reactor'!$EB$61:$EB$66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A-BCA0-45E8-81A7-1F86C2213AE9}"/>
                  </c:ext>
                </c:extLst>
              </c15:ser>
            </c15:filteredBarSeries>
            <c15:filteredBarSeries>
              <c15:ser>
                <c:idx val="27"/>
                <c:order val="27"/>
                <c:tx>
                  <c:strRef>
                    <c:extLst xmlns:c15="http://schemas.microsoft.com/office/drawing/2012/chart">
                      <c:ext xmlns:c15="http://schemas.microsoft.com/office/drawing/2012/chart" uri="{02D57815-91ED-43cb-92C2-25804820EDAC}">
                        <c15:formulaRef>
                          <c15:sqref>'DOL-MotorVAR + Reactor'!$EC$60</c15:sqref>
                        </c15:formulaRef>
                      </c:ext>
                    </c:extLst>
                    <c:strCache>
                      <c:ptCount val="1"/>
                    </c:strCache>
                  </c:strRef>
                </c:tx>
                <c:spPr>
                  <a:solidFill>
                    <a:schemeClr val="accent4">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Reactor'!$EC$61:$EC$66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B-BCA0-45E8-81A7-1F86C2213AE9}"/>
                  </c:ext>
                </c:extLst>
              </c15:ser>
            </c15:filteredBarSeries>
            <c15:filteredBarSeries>
              <c15:ser>
                <c:idx val="28"/>
                <c:order val="28"/>
                <c:tx>
                  <c:strRef>
                    <c:extLst xmlns:c15="http://schemas.microsoft.com/office/drawing/2012/chart">
                      <c:ext xmlns:c15="http://schemas.microsoft.com/office/drawing/2012/chart" uri="{02D57815-91ED-43cb-92C2-25804820EDAC}">
                        <c15:formulaRef>
                          <c15:sqref>'DOL-MotorVAR + Reactor'!$ED$60</c15:sqref>
                        </c15:formulaRef>
                      </c:ext>
                    </c:extLst>
                    <c:strCache>
                      <c:ptCount val="1"/>
                    </c:strCache>
                  </c:strRef>
                </c:tx>
                <c:spPr>
                  <a:solidFill>
                    <a:schemeClr val="accent5">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Reactor'!$ED$61:$ED$66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C-BCA0-45E8-81A7-1F86C2213AE9}"/>
                  </c:ext>
                </c:extLst>
              </c15:ser>
            </c15:filteredBarSeries>
            <c15:filteredBarSeries>
              <c15:ser>
                <c:idx val="29"/>
                <c:order val="29"/>
                <c:tx>
                  <c:strRef>
                    <c:extLst xmlns:c15="http://schemas.microsoft.com/office/drawing/2012/chart">
                      <c:ext xmlns:c15="http://schemas.microsoft.com/office/drawing/2012/chart" uri="{02D57815-91ED-43cb-92C2-25804820EDAC}">
                        <c15:formulaRef>
                          <c15:sqref>'DOL-MotorVAR + Reactor'!$EE$60</c15:sqref>
                        </c15:formulaRef>
                      </c:ext>
                    </c:extLst>
                    <c:strCache>
                      <c:ptCount val="1"/>
                    </c:strCache>
                  </c:strRef>
                </c:tx>
                <c:spPr>
                  <a:solidFill>
                    <a:schemeClr val="accent6">
                      <a:lumMod val="60000"/>
                      <a:lumOff val="4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Reactor'!$EE$61:$EE$66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D-BCA0-45E8-81A7-1F86C2213AE9}"/>
                  </c:ext>
                </c:extLst>
              </c15:ser>
            </c15:filteredBarSeries>
            <c15:filteredBarSeries>
              <c15:ser>
                <c:idx val="30"/>
                <c:order val="30"/>
                <c:tx>
                  <c:strRef>
                    <c:extLst xmlns:c15="http://schemas.microsoft.com/office/drawing/2012/chart">
                      <c:ext xmlns:c15="http://schemas.microsoft.com/office/drawing/2012/chart" uri="{02D57815-91ED-43cb-92C2-25804820EDAC}">
                        <c15:formulaRef>
                          <c15:sqref>'DOL-MotorVAR + Reactor'!$EF$60</c15:sqref>
                        </c15:formulaRef>
                      </c:ext>
                    </c:extLst>
                    <c:strCache>
                      <c:ptCount val="1"/>
                    </c:strCache>
                  </c:strRef>
                </c:tx>
                <c:spPr>
                  <a:solidFill>
                    <a:schemeClr val="accent1">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Reactor'!$EF$61:$EF$66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E-BCA0-45E8-81A7-1F86C2213AE9}"/>
                  </c:ext>
                </c:extLst>
              </c15:ser>
            </c15:filteredBarSeries>
            <c15:filteredBarSeries>
              <c15:ser>
                <c:idx val="31"/>
                <c:order val="31"/>
                <c:tx>
                  <c:strRef>
                    <c:extLst xmlns:c15="http://schemas.microsoft.com/office/drawing/2012/chart">
                      <c:ext xmlns:c15="http://schemas.microsoft.com/office/drawing/2012/chart" uri="{02D57815-91ED-43cb-92C2-25804820EDAC}">
                        <c15:formulaRef>
                          <c15:sqref>'DOL-MotorVAR + Reactor'!$EG$60</c15:sqref>
                        </c15:formulaRef>
                      </c:ext>
                    </c:extLst>
                    <c:strCache>
                      <c:ptCount val="1"/>
                    </c:strCache>
                  </c:strRef>
                </c:tx>
                <c:spPr>
                  <a:solidFill>
                    <a:schemeClr val="accent2">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Reactor'!$EG$61:$EG$66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1F-BCA0-45E8-81A7-1F86C2213AE9}"/>
                  </c:ext>
                </c:extLst>
              </c15:ser>
            </c15:filteredBarSeries>
            <c15:filteredBarSeries>
              <c15:ser>
                <c:idx val="33"/>
                <c:order val="33"/>
                <c:tx>
                  <c:strRef>
                    <c:extLst xmlns:c15="http://schemas.microsoft.com/office/drawing/2012/chart">
                      <c:ext xmlns:c15="http://schemas.microsoft.com/office/drawing/2012/chart" uri="{02D57815-91ED-43cb-92C2-25804820EDAC}">
                        <c15:formulaRef>
                          <c15:sqref>'DOL-MotorVAR + Reactor'!$EI$60</c15:sqref>
                        </c15:formulaRef>
                      </c:ext>
                    </c:extLst>
                    <c:strCache>
                      <c:ptCount val="1"/>
                    </c:strCache>
                  </c:strRef>
                </c:tx>
                <c:spPr>
                  <a:solidFill>
                    <a:schemeClr val="accent4">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Reactor'!$EI$61:$EI$66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21-BCA0-45E8-81A7-1F86C2213AE9}"/>
                  </c:ext>
                </c:extLst>
              </c15:ser>
            </c15:filteredBarSeries>
            <c15:filteredBarSeries>
              <c15:ser>
                <c:idx val="34"/>
                <c:order val="34"/>
                <c:tx>
                  <c:strRef>
                    <c:extLst xmlns:c15="http://schemas.microsoft.com/office/drawing/2012/chart">
                      <c:ext xmlns:c15="http://schemas.microsoft.com/office/drawing/2012/chart" uri="{02D57815-91ED-43cb-92C2-25804820EDAC}">
                        <c15:formulaRef>
                          <c15:sqref>'DOL-MotorVAR + Reactor'!$EJ$60</c15:sqref>
                        </c15:formulaRef>
                      </c:ext>
                    </c:extLst>
                    <c:strCache>
                      <c:ptCount val="1"/>
                    </c:strCache>
                  </c:strRef>
                </c:tx>
                <c:spPr>
                  <a:solidFill>
                    <a:schemeClr val="accent5">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Reactor'!$EJ$61:$EJ$66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22-BCA0-45E8-81A7-1F86C2213AE9}"/>
                  </c:ext>
                </c:extLst>
              </c15:ser>
            </c15:filteredBarSeries>
            <c15:filteredBarSeries>
              <c15:ser>
                <c:idx val="35"/>
                <c:order val="35"/>
                <c:tx>
                  <c:strRef>
                    <c:extLst xmlns:c15="http://schemas.microsoft.com/office/drawing/2012/chart">
                      <c:ext xmlns:c15="http://schemas.microsoft.com/office/drawing/2012/chart" uri="{02D57815-91ED-43cb-92C2-25804820EDAC}">
                        <c15:formulaRef>
                          <c15:sqref>'DOL-MotorVAR + Reactor'!$EK$60</c15:sqref>
                        </c15:formulaRef>
                      </c:ext>
                    </c:extLst>
                    <c:strCache>
                      <c:ptCount val="1"/>
                    </c:strCache>
                  </c:strRef>
                </c:tx>
                <c:spPr>
                  <a:solidFill>
                    <a:schemeClr val="accent6">
                      <a:lumMod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Reactor'!$EK$61:$EK$66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23-BCA0-45E8-81A7-1F86C2213AE9}"/>
                  </c:ext>
                </c:extLst>
              </c15:ser>
            </c15:filteredBarSeries>
            <c15:filteredBarSeries>
              <c15:ser>
                <c:idx val="36"/>
                <c:order val="36"/>
                <c:tx>
                  <c:strRef>
                    <c:extLst xmlns:c15="http://schemas.microsoft.com/office/drawing/2012/chart">
                      <c:ext xmlns:c15="http://schemas.microsoft.com/office/drawing/2012/chart" uri="{02D57815-91ED-43cb-92C2-25804820EDAC}">
                        <c15:formulaRef>
                          <c15:sqref>'DOL-MotorVAR + Reactor'!$EL$60</c15:sqref>
                        </c15:formulaRef>
                      </c:ext>
                    </c:extLst>
                    <c:strCache>
                      <c:ptCount val="1"/>
                    </c:strCache>
                  </c:strRef>
                </c:tx>
                <c:spPr>
                  <a:solidFill>
                    <a:schemeClr val="accent1">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Reactor'!$EL$61:$EL$66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24-BCA0-45E8-81A7-1F86C2213AE9}"/>
                  </c:ext>
                </c:extLst>
              </c15:ser>
            </c15:filteredBarSeries>
            <c15:filteredBarSeries>
              <c15:ser>
                <c:idx val="37"/>
                <c:order val="37"/>
                <c:tx>
                  <c:strRef>
                    <c:extLst xmlns:c15="http://schemas.microsoft.com/office/drawing/2012/chart">
                      <c:ext xmlns:c15="http://schemas.microsoft.com/office/drawing/2012/chart" uri="{02D57815-91ED-43cb-92C2-25804820EDAC}">
                        <c15:formulaRef>
                          <c15:sqref>'DOL-MotorVAR + Reactor'!$EM$60</c15:sqref>
                        </c15:formulaRef>
                      </c:ext>
                    </c:extLst>
                    <c:strCache>
                      <c:ptCount val="1"/>
                    </c:strCache>
                  </c:strRef>
                </c:tx>
                <c:spPr>
                  <a:solidFill>
                    <a:schemeClr val="accent2">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Reactor'!$EM$61:$EM$66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25-BCA0-45E8-81A7-1F86C2213AE9}"/>
                  </c:ext>
                </c:extLst>
              </c15:ser>
            </c15:filteredBarSeries>
            <c15:filteredBarSeries>
              <c15:ser>
                <c:idx val="38"/>
                <c:order val="38"/>
                <c:tx>
                  <c:strRef>
                    <c:extLst xmlns:c15="http://schemas.microsoft.com/office/drawing/2012/chart">
                      <c:ext xmlns:c15="http://schemas.microsoft.com/office/drawing/2012/chart" uri="{02D57815-91ED-43cb-92C2-25804820EDAC}">
                        <c15:formulaRef>
                          <c15:sqref>'DOL-MotorVAR + Reactor'!$EN$60</c15:sqref>
                        </c15:formulaRef>
                      </c:ext>
                    </c:extLst>
                    <c:strCache>
                      <c:ptCount val="1"/>
                    </c:strCache>
                  </c:strRef>
                </c:tx>
                <c:spPr>
                  <a:solidFill>
                    <a:schemeClr val="accent3">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Reactor'!$EN$61:$EN$66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26-BCA0-45E8-81A7-1F86C2213AE9}"/>
                  </c:ext>
                </c:extLst>
              </c15:ser>
            </c15:filteredBarSeries>
            <c15:filteredBarSeries>
              <c15:ser>
                <c:idx val="39"/>
                <c:order val="39"/>
                <c:tx>
                  <c:strRef>
                    <c:extLst xmlns:c15="http://schemas.microsoft.com/office/drawing/2012/chart">
                      <c:ext xmlns:c15="http://schemas.microsoft.com/office/drawing/2012/chart" uri="{02D57815-91ED-43cb-92C2-25804820EDAC}">
                        <c15:formulaRef>
                          <c15:sqref>'DOL-MotorVAR + Reactor'!$EO$60</c15:sqref>
                        </c15:formulaRef>
                      </c:ext>
                    </c:extLst>
                    <c:strCache>
                      <c:ptCount val="1"/>
                    </c:strCache>
                  </c:strRef>
                </c:tx>
                <c:spPr>
                  <a:solidFill>
                    <a:schemeClr val="accent4">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Reactor'!$EO$61:$EO$66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27-BCA0-45E8-81A7-1F86C2213AE9}"/>
                  </c:ext>
                </c:extLst>
              </c15:ser>
            </c15:filteredBarSeries>
            <c15:filteredBarSeries>
              <c15:ser>
                <c:idx val="40"/>
                <c:order val="40"/>
                <c:tx>
                  <c:strRef>
                    <c:extLst xmlns:c15="http://schemas.microsoft.com/office/drawing/2012/chart">
                      <c:ext xmlns:c15="http://schemas.microsoft.com/office/drawing/2012/chart" uri="{02D57815-91ED-43cb-92C2-25804820EDAC}">
                        <c15:formulaRef>
                          <c15:sqref>'DOL-MotorVAR + Reactor'!$EP$60</c15:sqref>
                        </c15:formulaRef>
                      </c:ext>
                    </c:extLst>
                    <c:strCache>
                      <c:ptCount val="1"/>
                    </c:strCache>
                  </c:strRef>
                </c:tx>
                <c:spPr>
                  <a:solidFill>
                    <a:schemeClr val="accent5">
                      <a:lumMod val="70000"/>
                      <a:lumOff val="30000"/>
                    </a:schemeClr>
                  </a:solidFill>
                  <a:ln>
                    <a:noFill/>
                  </a:ln>
                  <a:effectLst/>
                </c:spPr>
                <c:invertIfNegative val="0"/>
                <c:cat>
                  <c:strRef>
                    <c:extLst xmlns:c15="http://schemas.microsoft.com/office/drawing/2012/chart">
                      <c:ext xmlns:c15="http://schemas.microsoft.com/office/drawing/2012/chart" uri="{02D57815-91ED-43cb-92C2-25804820EDAC}">
                        <c15:formulaRef>
                          <c15:sqref>'DOL-MotorVAR + Reactor'!$DA$61:$DA$66</c15:sqref>
                        </c15:formulaRef>
                      </c:ext>
                    </c:extLst>
                    <c:strCache>
                      <c:ptCount val="6"/>
                      <c:pt idx="0">
                        <c:v>Motor Starting Current (% of FLA):</c:v>
                      </c:pt>
                      <c:pt idx="1">
                        <c:v>Motor Terminal Voltage (Percent of Rated):</c:v>
                      </c:pt>
                      <c:pt idx="2">
                        <c:v>Percent of Rated Started Torque:</c:v>
                      </c:pt>
                      <c:pt idx="3">
                        <c:v>Voltage at Primary (PCC) 34.5 kV Bus:</c:v>
                      </c:pt>
                      <c:pt idx="4">
                        <c:v>Voltage at Secondary 12.47 kV Bus:</c:v>
                      </c:pt>
                      <c:pt idx="5">
                        <c:v>Inrush current seen by system (% of FLA):</c:v>
                      </c:pt>
                    </c:strCache>
                  </c:strRef>
                </c:cat>
                <c:val>
                  <c:numRef>
                    <c:extLst xmlns:c15="http://schemas.microsoft.com/office/drawing/2012/chart">
                      <c:ext xmlns:c15="http://schemas.microsoft.com/office/drawing/2012/chart" uri="{02D57815-91ED-43cb-92C2-25804820EDAC}">
                        <c15:formulaRef>
                          <c15:sqref>'DOL-MotorVAR + Reactor'!$EP$61:$EP$66</c15:sqref>
                        </c15:formulaRef>
                      </c:ext>
                    </c:extLst>
                    <c:numCache>
                      <c:formatCode>0.0%</c:formatCode>
                      <c:ptCount val="6"/>
                    </c:numCache>
                  </c:numRef>
                </c:val>
                <c:extLst xmlns:c15="http://schemas.microsoft.com/office/drawing/2012/chart">
                  <c:ext xmlns:c16="http://schemas.microsoft.com/office/drawing/2014/chart" uri="{C3380CC4-5D6E-409C-BE32-E72D297353CC}">
                    <c16:uniqueId val="{00000028-BCA0-45E8-81A7-1F86C2213AE9}"/>
                  </c:ext>
                </c:extLst>
              </c15:ser>
            </c15:filteredBarSeries>
          </c:ext>
        </c:extLst>
      </c:barChart>
      <c:catAx>
        <c:axId val="169592582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695921503"/>
        <c:crosses val="autoZero"/>
        <c:auto val="1"/>
        <c:lblAlgn val="ctr"/>
        <c:lblOffset val="100"/>
        <c:noMultiLvlLbl val="0"/>
      </c:catAx>
      <c:valAx>
        <c:axId val="169592150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6959258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9525" cap="flat" cmpd="sng" algn="ctr">
      <a:solidFill>
        <a:srgbClr val="00B0F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sv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sv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12.sv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16.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5.png"/><Relationship Id="rId5" Type="http://schemas.openxmlformats.org/officeDocument/2006/relationships/chart" Target="../charts/chart4.xml"/><Relationship Id="rId4" Type="http://schemas.openxmlformats.org/officeDocument/2006/relationships/image" Target="../media/image14.sv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3" name="Picture 2">
          <a:extLst>
            <a:ext uri="{FF2B5EF4-FFF2-40B4-BE49-F238E27FC236}">
              <a16:creationId xmlns:a16="http://schemas.microsoft.com/office/drawing/2014/main" id="{A18AA110-2A46-49A0-B353-163FE3EE21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514350"/>
          <a:ext cx="2047875" cy="1009650"/>
        </a:xfrm>
        <a:prstGeom prst="rect">
          <a:avLst/>
        </a:prstGeom>
      </xdr:spPr>
    </xdr:pic>
    <xdr:clientData/>
  </xdr:twoCellAnchor>
  <xdr:oneCellAnchor>
    <xdr:from>
      <xdr:col>74</xdr:col>
      <xdr:colOff>19049</xdr:colOff>
      <xdr:row>1</xdr:row>
      <xdr:rowOff>73956</xdr:rowOff>
    </xdr:from>
    <xdr:ext cx="1638301" cy="819151"/>
    <xdr:pic>
      <xdr:nvPicPr>
        <xdr:cNvPr id="4" name="Picture 3">
          <a:extLst>
            <a:ext uri="{FF2B5EF4-FFF2-40B4-BE49-F238E27FC236}">
              <a16:creationId xmlns:a16="http://schemas.microsoft.com/office/drawing/2014/main" id="{A185239F-115D-4FC8-9D92-DACD37ED2B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5" name="Picture 4">
          <a:extLst>
            <a:ext uri="{FF2B5EF4-FFF2-40B4-BE49-F238E27FC236}">
              <a16:creationId xmlns:a16="http://schemas.microsoft.com/office/drawing/2014/main" id="{03EE92AC-BBFC-4DF4-8B7B-CE6AD6BC21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6" name="Picture 5">
          <a:extLst>
            <a:ext uri="{FF2B5EF4-FFF2-40B4-BE49-F238E27FC236}">
              <a16:creationId xmlns:a16="http://schemas.microsoft.com/office/drawing/2014/main" id="{8D6DB11C-8717-44FD-A39A-6C12093E93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03956"/>
          <a:ext cx="1638301" cy="819151"/>
        </a:xfrm>
        <a:prstGeom prst="rect">
          <a:avLst/>
        </a:prstGeom>
      </xdr:spPr>
    </xdr:pic>
    <xdr:clientData/>
  </xdr:oneCellAnchor>
  <xdr:oneCellAnchor>
    <xdr:from>
      <xdr:col>32</xdr:col>
      <xdr:colOff>19049</xdr:colOff>
      <xdr:row>99</xdr:row>
      <xdr:rowOff>73956</xdr:rowOff>
    </xdr:from>
    <xdr:ext cx="1638301" cy="819151"/>
    <xdr:pic>
      <xdr:nvPicPr>
        <xdr:cNvPr id="7" name="Picture 6">
          <a:extLst>
            <a:ext uri="{FF2B5EF4-FFF2-40B4-BE49-F238E27FC236}">
              <a16:creationId xmlns:a16="http://schemas.microsoft.com/office/drawing/2014/main" id="{D2A786E0-BBCB-4283-A73C-6D48E6BB27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22705356"/>
          <a:ext cx="1638301" cy="819151"/>
        </a:xfrm>
        <a:prstGeom prst="rect">
          <a:avLst/>
        </a:prstGeom>
      </xdr:spPr>
    </xdr:pic>
    <xdr:clientData/>
  </xdr:oneCellAnchor>
  <xdr:oneCellAnchor>
    <xdr:from>
      <xdr:col>74</xdr:col>
      <xdr:colOff>19049</xdr:colOff>
      <xdr:row>99</xdr:row>
      <xdr:rowOff>73956</xdr:rowOff>
    </xdr:from>
    <xdr:ext cx="1638301" cy="819151"/>
    <xdr:pic>
      <xdr:nvPicPr>
        <xdr:cNvPr id="8" name="Picture 7">
          <a:extLst>
            <a:ext uri="{FF2B5EF4-FFF2-40B4-BE49-F238E27FC236}">
              <a16:creationId xmlns:a16="http://schemas.microsoft.com/office/drawing/2014/main" id="{B047579F-4838-46E8-BC2A-5C9328703C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22705356"/>
          <a:ext cx="1638301" cy="819151"/>
        </a:xfrm>
        <a:prstGeom prst="rect">
          <a:avLst/>
        </a:prstGeom>
      </xdr:spPr>
    </xdr:pic>
    <xdr:clientData/>
  </xdr:oneCellAnchor>
  <xdr:oneCellAnchor>
    <xdr:from>
      <xdr:col>32</xdr:col>
      <xdr:colOff>19049</xdr:colOff>
      <xdr:row>148</xdr:row>
      <xdr:rowOff>73956</xdr:rowOff>
    </xdr:from>
    <xdr:ext cx="1638301" cy="819151"/>
    <xdr:pic>
      <xdr:nvPicPr>
        <xdr:cNvPr id="9" name="Picture 8">
          <a:extLst>
            <a:ext uri="{FF2B5EF4-FFF2-40B4-BE49-F238E27FC236}">
              <a16:creationId xmlns:a16="http://schemas.microsoft.com/office/drawing/2014/main" id="{1A9CBC24-7661-480B-BF20-F203D672A3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33906756"/>
          <a:ext cx="1638301" cy="819151"/>
        </a:xfrm>
        <a:prstGeom prst="rect">
          <a:avLst/>
        </a:prstGeom>
      </xdr:spPr>
    </xdr:pic>
    <xdr:clientData/>
  </xdr:oneCellAnchor>
  <xdr:oneCellAnchor>
    <xdr:from>
      <xdr:col>74</xdr:col>
      <xdr:colOff>19049</xdr:colOff>
      <xdr:row>148</xdr:row>
      <xdr:rowOff>73956</xdr:rowOff>
    </xdr:from>
    <xdr:ext cx="1638301" cy="819151"/>
    <xdr:pic>
      <xdr:nvPicPr>
        <xdr:cNvPr id="10" name="Picture 9">
          <a:extLst>
            <a:ext uri="{FF2B5EF4-FFF2-40B4-BE49-F238E27FC236}">
              <a16:creationId xmlns:a16="http://schemas.microsoft.com/office/drawing/2014/main" id="{853BDE8E-2FC8-4833-9EC0-8CF2117292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3906756"/>
          <a:ext cx="1638301" cy="819151"/>
        </a:xfrm>
        <a:prstGeom prst="rect">
          <a:avLst/>
        </a:prstGeom>
      </xdr:spPr>
    </xdr:pic>
    <xdr:clientData/>
  </xdr:oneCellAnchor>
  <xdr:twoCellAnchor>
    <xdr:from>
      <xdr:col>1</xdr:col>
      <xdr:colOff>145677</xdr:colOff>
      <xdr:row>10</xdr:row>
      <xdr:rowOff>1</xdr:rowOff>
    </xdr:from>
    <xdr:to>
      <xdr:col>41</xdr:col>
      <xdr:colOff>33617</xdr:colOff>
      <xdr:row>45</xdr:row>
      <xdr:rowOff>156884</xdr:rowOff>
    </xdr:to>
    <xdr:sp macro="" textlink="">
      <xdr:nvSpPr>
        <xdr:cNvPr id="58" name="TextBox 57">
          <a:extLst>
            <a:ext uri="{FF2B5EF4-FFF2-40B4-BE49-F238E27FC236}">
              <a16:creationId xmlns:a16="http://schemas.microsoft.com/office/drawing/2014/main" id="{0B6D1649-2B7C-4F28-6085-135CC3D6D38B}"/>
            </a:ext>
          </a:extLst>
        </xdr:cNvPr>
        <xdr:cNvSpPr txBox="1"/>
      </xdr:nvSpPr>
      <xdr:spPr>
        <a:xfrm>
          <a:off x="324971" y="2241177"/>
          <a:ext cx="7059705" cy="8001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rgbClr val="00B0F0"/>
              </a:solidFill>
            </a:rPr>
            <a:t>Overview</a:t>
          </a:r>
        </a:p>
        <a:p>
          <a:endParaRPr lang="en-US" sz="1400" b="1">
            <a:solidFill>
              <a:srgbClr val="00B0F0"/>
            </a:solidFill>
          </a:endParaRPr>
        </a:p>
        <a:p>
          <a:r>
            <a:rPr lang="en-US"/>
            <a:t>VarStec’s </a:t>
          </a:r>
          <a:r>
            <a:rPr lang="en-US" b="1"/>
            <a:t>MotorVAR™</a:t>
          </a:r>
          <a:r>
            <a:rPr lang="en-US"/>
            <a:t> is a medium-voltage motor starting capacitor bank designed to enable the reliable starting of large induction and synchronous motors while maintaining acceptable system and motor terminal voltages. By supplying reactive power locally during motor acceleration, MotorVAR minimizes voltage sags caused by inrush current and reduces reactive power flow across the electrical network. This allows motors to be </a:t>
          </a:r>
          <a:r>
            <a:rPr lang="en-US" b="0"/>
            <a:t>started across the line at full voltage, preserving starting torque while supporting grid stability.</a:t>
          </a:r>
        </a:p>
        <a:p>
          <a:endParaRPr lang="en-US" b="0"/>
        </a:p>
        <a:p>
          <a:r>
            <a:rPr lang="en-US" b="0"/>
            <a:t>Compared to traditional starting methods, such as line reactors, Reduced-Voltage Soft Starters (RVSS), and Adjustable Speed Drives (ASD/VFDs)—MotorVAR provides a simpler, more robust, and more cost-effective solution. Reactor and RVSS systems limit inrush current by reducing motor voltage, often constraining available starting torque. In applications where these methods cannot meet torque requirements, MotorVAR can provide supplemental voltage support, extending their effective range and avoiding the cost and complexity of VFD drives.</a:t>
          </a:r>
        </a:p>
        <a:p>
          <a:endParaRPr lang="en-US" b="0"/>
        </a:p>
        <a:p>
          <a:r>
            <a:rPr lang="en-US" b="0"/>
            <a:t>MotorVAR introduces no steady-state harmonics, requires no climate-controlled E-House, and does not rely on proprietary power electronics or software. The system is designed for outdoor substation installation, eliminating the footprint and operating costs associated with E-Houses. MotorVAR also eliminates the need for synchronous bypass switchgear and complex transfer schemes, simplifying system design and commissioning.</a:t>
          </a:r>
        </a:p>
        <a:p>
          <a:endParaRPr lang="en-US" b="0"/>
        </a:p>
        <a:p>
          <a:r>
            <a:rPr lang="en-US" b="0"/>
            <a:t>Built entirely from proven, off-the-shelf components, MotorVAR employs a fully transparent, non-proprietary </a:t>
          </a:r>
          <a:r>
            <a:rPr lang="en-US"/>
            <a:t>protection and control architecture. As a result, routine maintenance and troubleshooting can be performed by qualified plant personnel, reducing lifecycle cost and improving long-term reliability.</a:t>
          </a:r>
        </a:p>
        <a:p>
          <a:endParaRPr lang="en-US"/>
        </a:p>
        <a:p>
          <a:endParaRPr lang="en-US"/>
        </a:p>
        <a:p>
          <a:pPr algn="ctr"/>
          <a:r>
            <a:rPr lang="en-US" sz="1600" b="1">
              <a:solidFill>
                <a:srgbClr val="00B0F0"/>
              </a:solidFill>
            </a:rPr>
            <a:t>Workboo</a:t>
          </a:r>
          <a:r>
            <a:rPr lang="en-US" sz="1600" b="1" baseline="0">
              <a:solidFill>
                <a:srgbClr val="00B0F0"/>
              </a:solidFill>
            </a:rPr>
            <a:t>k </a:t>
          </a:r>
          <a:r>
            <a:rPr lang="en-US" sz="1600" b="1">
              <a:solidFill>
                <a:srgbClr val="00B0F0"/>
              </a:solidFill>
            </a:rPr>
            <a:t>Purpose</a:t>
          </a:r>
        </a:p>
        <a:p>
          <a:pPr algn="ctr"/>
          <a:endParaRPr lang="en-US" sz="1400" b="1">
            <a:solidFill>
              <a:srgbClr val="00B0F0"/>
            </a:solidFill>
          </a:endParaRPr>
        </a:p>
        <a:p>
          <a:r>
            <a:rPr lang="en-US"/>
            <a:t>This workbook is intended to support the </a:t>
          </a:r>
          <a:r>
            <a:rPr lang="en-US" b="1"/>
            <a:t>preliminary evaluation and comparison of large medium-voltage motor starting configurations</a:t>
          </a:r>
          <a:r>
            <a:rPr lang="en-US"/>
            <a:t> using VarStec’s MotorVAR system. It provides a structured framework for assessing voltage performance, starting torque margins, and reactive power requirements across several commonly encountered system topologies. Each worksheet represents a distinct starting configuration and is used to identify appropriate MotorVAR and auxiliary equipment ratings that meet defined system performance objectives during motor starting.</a:t>
          </a:r>
          <a:endParaRPr lang="en-US" sz="1100" b="1">
            <a:solidFill>
              <a:srgbClr val="00B0F0"/>
            </a:solidFill>
          </a:endParaRPr>
        </a:p>
        <a:p>
          <a:endParaRPr lang="en-US"/>
        </a:p>
        <a:p>
          <a:r>
            <a:rPr lang="en-US" sz="1400" b="1">
              <a:solidFill>
                <a:srgbClr val="00B0F0"/>
              </a:solidFill>
            </a:rPr>
            <a:t>DOL + MotorVAR</a:t>
          </a:r>
          <a:br>
            <a:rPr lang="en-US"/>
          </a:br>
          <a:r>
            <a:rPr lang="en-US"/>
            <a:t>This worksheet evaluates across-the-line motor starting with MotorVAR providing reactive power support. The MotorVAR reactive power rating is iterated to meet </a:t>
          </a:r>
          <a:r>
            <a:rPr lang="en-US" b="0"/>
            <a:t>system voltage and motor terminal voltage performance objectives while preserving full starting torque. This configuration is typical of gas compression stations, pump stations, and similar installations where large motors must be started directly on weak or utility-constrained power systems.</a:t>
          </a:r>
        </a:p>
        <a:p>
          <a:endParaRPr lang="en-US" b="0"/>
        </a:p>
      </xdr:txBody>
    </xdr:sp>
    <xdr:clientData/>
  </xdr:twoCellAnchor>
  <xdr:twoCellAnchor>
    <xdr:from>
      <xdr:col>43</xdr:col>
      <xdr:colOff>168087</xdr:colOff>
      <xdr:row>6</xdr:row>
      <xdr:rowOff>11205</xdr:rowOff>
    </xdr:from>
    <xdr:to>
      <xdr:col>82</xdr:col>
      <xdr:colOff>145675</xdr:colOff>
      <xdr:row>33</xdr:row>
      <xdr:rowOff>33618</xdr:rowOff>
    </xdr:to>
    <xdr:sp macro="" textlink="">
      <xdr:nvSpPr>
        <xdr:cNvPr id="59" name="TextBox 58">
          <a:extLst>
            <a:ext uri="{FF2B5EF4-FFF2-40B4-BE49-F238E27FC236}">
              <a16:creationId xmlns:a16="http://schemas.microsoft.com/office/drawing/2014/main" id="{D6D1F7C7-C529-EA24-2282-0297D5533D14}"/>
            </a:ext>
          </a:extLst>
        </xdr:cNvPr>
        <xdr:cNvSpPr txBox="1"/>
      </xdr:nvSpPr>
      <xdr:spPr>
        <a:xfrm>
          <a:off x="7877734" y="1355911"/>
          <a:ext cx="6970059" cy="60735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00B0F0"/>
              </a:solidFill>
              <a:effectLst/>
              <a:latin typeface="+mn-lt"/>
              <a:ea typeface="+mn-ea"/>
              <a:cs typeface="+mn-cs"/>
            </a:rPr>
            <a:t>DOL + MotorVAR + RVSS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This worksheet evaluates systems using a Reduced-Voltage Soft Starter (RVSS in combination with MotorVAR. Both the MotorVAR reactive power rating and RVSS current-limit </a:t>
          </a:r>
          <a:r>
            <a:rPr lang="en-US" sz="1100" b="0">
              <a:solidFill>
                <a:schemeClr val="dk1"/>
              </a:solidFill>
              <a:effectLst/>
              <a:latin typeface="+mn-lt"/>
              <a:ea typeface="+mn-ea"/>
              <a:cs typeface="+mn-cs"/>
            </a:rPr>
            <a:t>setting are iterated to optimize voltage performance and starting torque. In many applications, MotorVAR significantly extends the practical operating range of RVSS systems, enabling higher horsepower motors to be started without resorting to complex and expensive VFD drives.</a:t>
          </a:r>
          <a:endParaRPr lang="en-US" sz="1400">
            <a:effectLst/>
          </a:endParaRPr>
        </a:p>
        <a:p>
          <a:r>
            <a:rPr lang="en-US" sz="1100" b="0">
              <a:solidFill>
                <a:schemeClr val="dk1"/>
              </a:solidFill>
              <a:effectLst/>
              <a:latin typeface="+mn-lt"/>
              <a:ea typeface="+mn-ea"/>
              <a:cs typeface="+mn-cs"/>
            </a:rPr>
            <a:t>This configuration also accounts for the harmonic content produced by RVSS systems. Where required, capacitor detuning is incorporated into the MotorVAR design to avoid resonance, which can increase overall </a:t>
          </a:r>
          <a:r>
            <a:rPr lang="en-US" sz="1100">
              <a:solidFill>
                <a:schemeClr val="dk1"/>
              </a:solidFill>
              <a:effectLst/>
              <a:latin typeface="+mn-lt"/>
              <a:ea typeface="+mn-ea"/>
              <a:cs typeface="+mn-cs"/>
            </a:rPr>
            <a:t>system cost. A common application addressed by this worksheet is the retrofit scenario in which an RVSS has already been installed but cannot be set to a sufficiently high current limit due to system weakness. In such cases, MotorVAR provides a practical and cost-effective means of restoring acceptable starting performance and making use of existing RVSS equipment.</a:t>
          </a:r>
        </a:p>
        <a:p>
          <a:endParaRPr lang="en-US" sz="1400">
            <a:effectLst/>
          </a:endParaRPr>
        </a:p>
        <a:p>
          <a:r>
            <a:rPr lang="en-US" sz="1400" b="1">
              <a:solidFill>
                <a:srgbClr val="00B0F0"/>
              </a:solidFill>
              <a:effectLst/>
              <a:latin typeface="+mn-lt"/>
              <a:ea typeface="+mn-ea"/>
              <a:cs typeface="+mn-cs"/>
            </a:rPr>
            <a:t>DOL + MotorVAR + Reactor</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This worksheet evaluates a combined solution using both a line reactor and MotorVAR. The reactor impedance and MotorVAR reactive power rating are iterated together to achieve acceptable voltage performance while controlling inrush current. The reactor reduces required MotorVAR size but at the expense of motor terminal voltage and available starting torque. The tool is used to identify </a:t>
          </a:r>
          <a:r>
            <a:rPr lang="en-US" sz="1100" b="0">
              <a:solidFill>
                <a:schemeClr val="dk1"/>
              </a:solidFill>
              <a:effectLst/>
              <a:latin typeface="+mn-lt"/>
              <a:ea typeface="+mn-ea"/>
              <a:cs typeface="+mn-cs"/>
            </a:rPr>
            <a:t>an optimal balance between reactor impedance and MotorVAR rating that satisfies overall system performance objectives without unnecessarily </a:t>
          </a:r>
          <a:r>
            <a:rPr lang="en-US" sz="1100">
              <a:solidFill>
                <a:schemeClr val="dk1"/>
              </a:solidFill>
              <a:effectLst/>
              <a:latin typeface="+mn-lt"/>
              <a:ea typeface="+mn-ea"/>
              <a:cs typeface="+mn-cs"/>
            </a:rPr>
            <a:t>oversizing either component.</a:t>
          </a:r>
          <a:endParaRPr lang="en-US" sz="1400">
            <a:effectLst/>
          </a:endParaRPr>
        </a:p>
        <a:p>
          <a:endParaRPr lang="en-US" sz="1400" b="1">
            <a:solidFill>
              <a:srgbClr val="00B0F0"/>
            </a:solidFill>
          </a:endParaRPr>
        </a:p>
        <a:p>
          <a:r>
            <a:rPr lang="en-US" sz="1400" b="1">
              <a:solidFill>
                <a:srgbClr val="00B0F0"/>
              </a:solidFill>
            </a:rPr>
            <a:t>DOL + MotorVAR + Captive Transformer</a:t>
          </a:r>
          <a:br>
            <a:rPr lang="en-US"/>
          </a:br>
          <a:r>
            <a:rPr lang="en-US"/>
            <a:t>This worksheet evaluates systems incorporating a captive or dedicated transformer supplying the motor bus. In this configuration, the captive transformer introduces additional impedance into the network that must be explicitly accounted for during motor starting. In addition, multiple system voltage levels must be evaluated for performance, including the motor terminal voltage, the internal plant distribution voltages on the secondary of the captive transformer, the secondary of the upstream step-down transformer, and the voltage at the point of common coupling (PCC).</a:t>
          </a:r>
        </a:p>
        <a:p>
          <a:endParaRPr lang="en-US"/>
        </a:p>
        <a:p>
          <a:r>
            <a:rPr lang="en-US" b="0"/>
            <a:t>In this worksheet, the MotorVAR reactive power rating is iterated to simultaneously meet voltage performance objectives across multiple plant voltage levels, the PCC, and the motor terminals during starting. This configuration is typical of very large industrial plants and facilities that distribute power at more than one medium-voltage level, where transformer impedance and internal voltage regulation play a critical role in overall motor starting performance.</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110378</xdr:colOff>
      <xdr:row>13</xdr:row>
      <xdr:rowOff>194167</xdr:rowOff>
    </xdr:from>
    <xdr:to>
      <xdr:col>41</xdr:col>
      <xdr:colOff>97405</xdr:colOff>
      <xdr:row>18</xdr:row>
      <xdr:rowOff>66675</xdr:rowOff>
    </xdr:to>
    <xdr:sp macro="" textlink="">
      <xdr:nvSpPr>
        <xdr:cNvPr id="2" name="TextBox 1">
          <a:extLst>
            <a:ext uri="{FF2B5EF4-FFF2-40B4-BE49-F238E27FC236}">
              <a16:creationId xmlns:a16="http://schemas.microsoft.com/office/drawing/2014/main" id="{636E26E2-F292-42F1-A3BF-0920C6256A1C}"/>
            </a:ext>
          </a:extLst>
        </xdr:cNvPr>
        <xdr:cNvSpPr txBox="1"/>
      </xdr:nvSpPr>
      <xdr:spPr>
        <a:xfrm>
          <a:off x="472328" y="3165967"/>
          <a:ext cx="7045052" cy="1015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This spreadsheet provides preliminary sizing of VarStec’s MotorVAR solution for large medium-voltage motor starting. It models a simplified utility-to-motor system to determine the reactive power required to meet voltage-performance targets. Using utility, transformer, and motor inputs, the tool enables rapid iteration of MotorVAR sizing to limit PCC voltage drop (typically near 4%)</a:t>
          </a:r>
          <a:r>
            <a:rPr lang="en-US" baseline="0"/>
            <a:t> </a:t>
          </a:r>
          <a:r>
            <a:rPr lang="en-US"/>
            <a:t>while maintaining motor terminal voltage</a:t>
          </a:r>
          <a:r>
            <a:rPr lang="en-US" baseline="0"/>
            <a:t> (typically </a:t>
          </a:r>
          <a:r>
            <a:rPr lang="en-US"/>
            <a:t>near 90%) during across-the-line starting.</a:t>
          </a:r>
          <a:endParaRPr lang="en-US" sz="1100"/>
        </a:p>
      </xdr:txBody>
    </xdr:sp>
    <xdr:clientData/>
  </xdr:twoCellAnchor>
  <xdr:twoCellAnchor editAs="oneCell">
    <xdr:from>
      <xdr:col>1</xdr:col>
      <xdr:colOff>123826</xdr:colOff>
      <xdr:row>2</xdr:row>
      <xdr:rowOff>38100</xdr:rowOff>
    </xdr:from>
    <xdr:to>
      <xdr:col>12</xdr:col>
      <xdr:colOff>76201</xdr:colOff>
      <xdr:row>6</xdr:row>
      <xdr:rowOff>95250</xdr:rowOff>
    </xdr:to>
    <xdr:pic>
      <xdr:nvPicPr>
        <xdr:cNvPr id="4" name="Picture 3">
          <a:extLst>
            <a:ext uri="{FF2B5EF4-FFF2-40B4-BE49-F238E27FC236}">
              <a16:creationId xmlns:a16="http://schemas.microsoft.com/office/drawing/2014/main" id="{908596B2-F5BB-4314-A30D-41FA205670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5" name="Picture 4">
          <a:extLst>
            <a:ext uri="{FF2B5EF4-FFF2-40B4-BE49-F238E27FC236}">
              <a16:creationId xmlns:a16="http://schemas.microsoft.com/office/drawing/2014/main" id="{71964678-CE2E-40CF-B779-2ED7814139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298074"/>
          <a:ext cx="1638301" cy="819151"/>
        </a:xfrm>
        <a:prstGeom prst="rect">
          <a:avLst/>
        </a:prstGeom>
      </xdr:spPr>
    </xdr:pic>
    <xdr:clientData/>
  </xdr:oneCellAnchor>
  <xdr:oneCellAnchor>
    <xdr:from>
      <xdr:col>32</xdr:col>
      <xdr:colOff>19049</xdr:colOff>
      <xdr:row>50</xdr:row>
      <xdr:rowOff>73956</xdr:rowOff>
    </xdr:from>
    <xdr:ext cx="1638301" cy="819151"/>
    <xdr:pic>
      <xdr:nvPicPr>
        <xdr:cNvPr id="6" name="Picture 5">
          <a:extLst>
            <a:ext uri="{FF2B5EF4-FFF2-40B4-BE49-F238E27FC236}">
              <a16:creationId xmlns:a16="http://schemas.microsoft.com/office/drawing/2014/main" id="{7C841FA7-26E3-4FD8-82C9-60B4E4BA23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6461" y="11279838"/>
          <a:ext cx="1638301" cy="819151"/>
        </a:xfrm>
        <a:prstGeom prst="rect">
          <a:avLst/>
        </a:prstGeom>
      </xdr:spPr>
    </xdr:pic>
    <xdr:clientData/>
  </xdr:oneCellAnchor>
  <xdr:oneCellAnchor>
    <xdr:from>
      <xdr:col>74</xdr:col>
      <xdr:colOff>19049</xdr:colOff>
      <xdr:row>50</xdr:row>
      <xdr:rowOff>73956</xdr:rowOff>
    </xdr:from>
    <xdr:ext cx="1638301" cy="819151"/>
    <xdr:pic>
      <xdr:nvPicPr>
        <xdr:cNvPr id="7" name="Picture 6">
          <a:extLst>
            <a:ext uri="{FF2B5EF4-FFF2-40B4-BE49-F238E27FC236}">
              <a16:creationId xmlns:a16="http://schemas.microsoft.com/office/drawing/2014/main" id="{B5E811D8-8D0E-4E51-8C26-B10CD40BEC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11279838"/>
          <a:ext cx="1638301" cy="819151"/>
        </a:xfrm>
        <a:prstGeom prst="rect">
          <a:avLst/>
        </a:prstGeom>
      </xdr:spPr>
    </xdr:pic>
    <xdr:clientData/>
  </xdr:oneCellAnchor>
  <xdr:oneCellAnchor>
    <xdr:from>
      <xdr:col>32</xdr:col>
      <xdr:colOff>19049</xdr:colOff>
      <xdr:row>99</xdr:row>
      <xdr:rowOff>73956</xdr:rowOff>
    </xdr:from>
    <xdr:ext cx="1638301" cy="819151"/>
    <xdr:pic>
      <xdr:nvPicPr>
        <xdr:cNvPr id="8" name="Picture 7">
          <a:extLst>
            <a:ext uri="{FF2B5EF4-FFF2-40B4-BE49-F238E27FC236}">
              <a16:creationId xmlns:a16="http://schemas.microsoft.com/office/drawing/2014/main" id="{21829B11-A617-4ADA-9D55-A645860798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6461" y="22261603"/>
          <a:ext cx="1638301" cy="819151"/>
        </a:xfrm>
        <a:prstGeom prst="rect">
          <a:avLst/>
        </a:prstGeom>
      </xdr:spPr>
    </xdr:pic>
    <xdr:clientData/>
  </xdr:oneCellAnchor>
  <xdr:oneCellAnchor>
    <xdr:from>
      <xdr:col>74</xdr:col>
      <xdr:colOff>19049</xdr:colOff>
      <xdr:row>99</xdr:row>
      <xdr:rowOff>73956</xdr:rowOff>
    </xdr:from>
    <xdr:ext cx="1638301" cy="819151"/>
    <xdr:pic>
      <xdr:nvPicPr>
        <xdr:cNvPr id="9" name="Picture 8">
          <a:extLst>
            <a:ext uri="{FF2B5EF4-FFF2-40B4-BE49-F238E27FC236}">
              <a16:creationId xmlns:a16="http://schemas.microsoft.com/office/drawing/2014/main" id="{923F832D-A0A9-4158-9C74-107D68128C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22261603"/>
          <a:ext cx="1638301" cy="819151"/>
        </a:xfrm>
        <a:prstGeom prst="rect">
          <a:avLst/>
        </a:prstGeom>
      </xdr:spPr>
    </xdr:pic>
    <xdr:clientData/>
  </xdr:oneCellAnchor>
  <xdr:oneCellAnchor>
    <xdr:from>
      <xdr:col>32</xdr:col>
      <xdr:colOff>19049</xdr:colOff>
      <xdr:row>148</xdr:row>
      <xdr:rowOff>73956</xdr:rowOff>
    </xdr:from>
    <xdr:ext cx="1638301" cy="819151"/>
    <xdr:pic>
      <xdr:nvPicPr>
        <xdr:cNvPr id="10" name="Picture 9">
          <a:extLst>
            <a:ext uri="{FF2B5EF4-FFF2-40B4-BE49-F238E27FC236}">
              <a16:creationId xmlns:a16="http://schemas.microsoft.com/office/drawing/2014/main" id="{87F229A5-2D9F-4CF1-BCCE-0C2BB07B4B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6461" y="33243368"/>
          <a:ext cx="1638301" cy="819151"/>
        </a:xfrm>
        <a:prstGeom prst="rect">
          <a:avLst/>
        </a:prstGeom>
      </xdr:spPr>
    </xdr:pic>
    <xdr:clientData/>
  </xdr:oneCellAnchor>
  <xdr:oneCellAnchor>
    <xdr:from>
      <xdr:col>74</xdr:col>
      <xdr:colOff>19049</xdr:colOff>
      <xdr:row>148</xdr:row>
      <xdr:rowOff>73956</xdr:rowOff>
    </xdr:from>
    <xdr:ext cx="1638301" cy="819151"/>
    <xdr:pic>
      <xdr:nvPicPr>
        <xdr:cNvPr id="11" name="Picture 10">
          <a:extLst>
            <a:ext uri="{FF2B5EF4-FFF2-40B4-BE49-F238E27FC236}">
              <a16:creationId xmlns:a16="http://schemas.microsoft.com/office/drawing/2014/main" id="{1449BFD8-E0C2-48F1-8DD3-CE98FF483A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33243368"/>
          <a:ext cx="1638301" cy="819151"/>
        </a:xfrm>
        <a:prstGeom prst="rect">
          <a:avLst/>
        </a:prstGeom>
      </xdr:spPr>
    </xdr:pic>
    <xdr:clientData/>
  </xdr:oneCellAnchor>
  <xdr:twoCellAnchor>
    <xdr:from>
      <xdr:col>1</xdr:col>
      <xdr:colOff>173936</xdr:colOff>
      <xdr:row>64</xdr:row>
      <xdr:rowOff>27454</xdr:rowOff>
    </xdr:from>
    <xdr:to>
      <xdr:col>41</xdr:col>
      <xdr:colOff>0</xdr:colOff>
      <xdr:row>70</xdr:row>
      <xdr:rowOff>200025</xdr:rowOff>
    </xdr:to>
    <xdr:sp macro="" textlink="DE60">
      <xdr:nvSpPr>
        <xdr:cNvPr id="12" name="TextBox 11">
          <a:extLst>
            <a:ext uri="{FF2B5EF4-FFF2-40B4-BE49-F238E27FC236}">
              <a16:creationId xmlns:a16="http://schemas.microsoft.com/office/drawing/2014/main" id="{AF6887A5-6725-4DD8-97BE-B24045180D33}"/>
            </a:ext>
          </a:extLst>
        </xdr:cNvPr>
        <xdr:cNvSpPr txBox="1"/>
      </xdr:nvSpPr>
      <xdr:spPr>
        <a:xfrm>
          <a:off x="354911" y="14657854"/>
          <a:ext cx="7065064" cy="1544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69E0D1C-CD5A-4FF9-AB98-A6997BE0B1AA}" type="TxLink">
            <a:rPr lang="en-US" sz="1100" b="0" i="0" u="none" strike="noStrike">
              <a:solidFill>
                <a:srgbClr val="000000"/>
              </a:solidFill>
              <a:latin typeface="Calibri"/>
              <a:ea typeface="Calibri"/>
              <a:cs typeface="Calibri"/>
            </a:rPr>
            <a:pPr/>
            <a:t>Without MotorVAR assistance, the motor draws 1061 amps (301.5% of FLA) during starting. This results in a voltage drop, with the motor terminal voltage dropping to 7.96 kV, or 60.3% of rated voltage. Correspondingly, available starting torque drops to 36.4% of rated torque, increasing the risk of stalled or prolonged motor acceleration.
From a system perspective, the voltage at the 34.5 kV PCC drops to 23.48 kV, or 68.1% of rated voltage and the 12.47 kV Secondary bus drops to 7.96 kV or 63.8% of nominal voltage, or voltage drops of 31.9% and 36.2% respectively. Typical performance objectives call for a voltage of no lower than 90% of nominal at the secondary bus and 96% voltage at the primary. When these objectives are not met, alternative starting methods are typically evaluated.</a:t>
          </a:fld>
          <a:endParaRPr lang="en-US" sz="1100"/>
        </a:p>
      </xdr:txBody>
    </xdr:sp>
    <xdr:clientData/>
  </xdr:twoCellAnchor>
  <xdr:twoCellAnchor>
    <xdr:from>
      <xdr:col>1</xdr:col>
      <xdr:colOff>160682</xdr:colOff>
      <xdr:row>72</xdr:row>
      <xdr:rowOff>5529</xdr:rowOff>
    </xdr:from>
    <xdr:to>
      <xdr:col>40</xdr:col>
      <xdr:colOff>163606</xdr:colOff>
      <xdr:row>80</xdr:row>
      <xdr:rowOff>66675</xdr:rowOff>
    </xdr:to>
    <xdr:sp macro="" textlink="DE63">
      <xdr:nvSpPr>
        <xdr:cNvPr id="13" name="TextBox 12">
          <a:extLst>
            <a:ext uri="{FF2B5EF4-FFF2-40B4-BE49-F238E27FC236}">
              <a16:creationId xmlns:a16="http://schemas.microsoft.com/office/drawing/2014/main" id="{F7E1EACF-6B00-4D85-B03B-7CD98BE33766}"/>
            </a:ext>
          </a:extLst>
        </xdr:cNvPr>
        <xdr:cNvSpPr txBox="1"/>
      </xdr:nvSpPr>
      <xdr:spPr>
        <a:xfrm>
          <a:off x="341657" y="16464729"/>
          <a:ext cx="7060949" cy="18899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0017DD14-05CC-4DCE-B4C7-487011F40A24}" type="TxLink">
            <a:rPr lang="en-US" sz="1100" b="0" i="0" u="none" strike="noStrike">
              <a:solidFill>
                <a:srgbClr val="000000"/>
              </a:solidFill>
              <a:latin typeface="Calibri"/>
              <a:ea typeface="Calibri"/>
              <a:cs typeface="Calibri"/>
            </a:rPr>
            <a:pPr marL="0" indent="0"/>
            <a:t>With the MotorVAR system engaged, motor starting performance improves substantially. Starting current at the motor terminals is increased to 1558 amps while the current drawn through the 12.47kV system is reduced to 338 amps (96% of FLA), while motor terminal voltage is maintained at near 11.7 kV, or 88.5% of rated voltage. This enables the motor to develop approximately 78.4% of rated torque at starting, providing stronger acceleration and more stable operation. 
System voltage performance is also significantly improved. Voltage at the 34.5kV PCC and the 12.5 kV bus remain at approximately 94.3% and 93.7% of nominal, respectively. The starting current seen by the 34.5 kV and 12.5 kV system are reduced to approximately 96 %FLA respective of the voltage levels, greatly mitigating upstream system disturbances. As the system pulls into synchronism, the 4 stage MotorVAR system limits the voltage fluctuations to approximately ±7.12%% of the nominal system voltage at the 12.5kV bus.</a:t>
          </a:fld>
          <a:endParaRPr lang="en-US" sz="1100" b="0" i="0" u="none" strike="noStrike">
            <a:solidFill>
              <a:srgbClr val="000000"/>
            </a:solidFill>
            <a:latin typeface="Calibri"/>
            <a:ea typeface="Calibri"/>
            <a:cs typeface="Calibri"/>
          </a:endParaRPr>
        </a:p>
      </xdr:txBody>
    </xdr:sp>
    <xdr:clientData/>
  </xdr:twoCellAnchor>
  <xdr:twoCellAnchor>
    <xdr:from>
      <xdr:col>1</xdr:col>
      <xdr:colOff>160683</xdr:colOff>
      <xdr:row>80</xdr:row>
      <xdr:rowOff>189743</xdr:rowOff>
    </xdr:from>
    <xdr:to>
      <xdr:col>40</xdr:col>
      <xdr:colOff>163606</xdr:colOff>
      <xdr:row>93</xdr:row>
      <xdr:rowOff>9525</xdr:rowOff>
    </xdr:to>
    <xdr:sp macro="" textlink="">
      <xdr:nvSpPr>
        <xdr:cNvPr id="14" name="TextBox 13">
          <a:extLst>
            <a:ext uri="{FF2B5EF4-FFF2-40B4-BE49-F238E27FC236}">
              <a16:creationId xmlns:a16="http://schemas.microsoft.com/office/drawing/2014/main" id="{6A9A9506-7D91-40C7-A7FB-756A93D54601}"/>
            </a:ext>
          </a:extLst>
        </xdr:cNvPr>
        <xdr:cNvSpPr txBox="1"/>
      </xdr:nvSpPr>
      <xdr:spPr>
        <a:xfrm>
          <a:off x="341658" y="18477743"/>
          <a:ext cx="7060948" cy="2791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0"/>
            <a:t>MotorVAR delivers fast, localized reactive power exactly where it’s needed—at the motor bus—transforming the way large medium-voltage motors are started. By actively supporting </a:t>
          </a:r>
          <a:r>
            <a:rPr lang="en-US"/>
            <a:t>voltage during acceleration, MotorVAR mitigates voltage sags, improves power quality, and preserves starting torque, enabling the use of simple across-the-line starters without compromising system performance or plant voltage stability.</a:t>
          </a:r>
          <a:br>
            <a:rPr lang="en-US"/>
          </a:br>
          <a:endParaRPr lang="en-US"/>
        </a:p>
        <a:p>
          <a:r>
            <a:rPr lang="en-US"/>
            <a:t>The MotorVAR system seamlessly coordinates a conventional motor starter with a smart, high-speed switched capacitor bank that is transient-free during both energization and de-energization. This approach eliminates the complexity, footprint, and operational burden typically associated with ASD/VFD solutions, synchronous bypass switchgear, E-house requirements, and the extended startup, commissioning, and lifecycle costs that accompany those systems.</a:t>
          </a:r>
        </a:p>
        <a:p>
          <a:endParaRPr lang="en-US"/>
        </a:p>
        <a:p>
          <a:r>
            <a:rPr lang="en-US"/>
            <a:t>A single MotorVAR installation can support multiple large motors on the same electrical system, often eliminating the need for dedicated starting equipment on each motor. Shared or cross-tie starting configurations can further enhance project economics. The result is a robust, practical motor-starting solution that minimizes system disturbance while dramatically reducing project complexity, cost, and risk.</a:t>
          </a:r>
        </a:p>
      </xdr:txBody>
    </xdr:sp>
    <xdr:clientData/>
  </xdr:twoCellAnchor>
  <xdr:twoCellAnchor>
    <xdr:from>
      <xdr:col>1</xdr:col>
      <xdr:colOff>165653</xdr:colOff>
      <xdr:row>56</xdr:row>
      <xdr:rowOff>22412</xdr:rowOff>
    </xdr:from>
    <xdr:to>
      <xdr:col>41</xdr:col>
      <xdr:colOff>8283</xdr:colOff>
      <xdr:row>62</xdr:row>
      <xdr:rowOff>190500</xdr:rowOff>
    </xdr:to>
    <xdr:sp macro="" textlink="DE57">
      <xdr:nvSpPr>
        <xdr:cNvPr id="15" name="TextBox 14">
          <a:extLst>
            <a:ext uri="{FF2B5EF4-FFF2-40B4-BE49-F238E27FC236}">
              <a16:creationId xmlns:a16="http://schemas.microsoft.com/office/drawing/2014/main" id="{FAEEF436-6318-4F09-9408-00932DD1D7AC}"/>
            </a:ext>
          </a:extLst>
        </xdr:cNvPr>
        <xdr:cNvSpPr txBox="1"/>
      </xdr:nvSpPr>
      <xdr:spPr>
        <a:xfrm>
          <a:off x="344947" y="12573000"/>
          <a:ext cx="7014395" cy="1512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BBC6D6E-3828-4444-8C0F-5E14EE0C55C1}" type="TxLink">
            <a:rPr lang="en-US" sz="1100" b="0" i="0" u="none" strike="noStrike">
              <a:solidFill>
                <a:srgbClr val="000000"/>
              </a:solidFill>
              <a:latin typeface="Calibri"/>
              <a:ea typeface="Calibri"/>
              <a:cs typeface="Calibri"/>
            </a:rPr>
            <a:pPr/>
            <a:t>Based on the data provided, this analysis evaluates the starting performance of a 9,923 HP, 13.2 kV motor connected to a utility system with a 34.5 kV point of common coupling (PCC). The utility short-circuit level at the PCC is 1.2 kA (3-phase) with an X/R ratio of 7, supplying the motor through a 40 MVA, 34.5 kV–12.47 kV step-down transformer with 7.5% leakage impedance.
The motor has a full-load current (FLA) of 351.9 amps, a locked-rotor current (LRA) of 500% FLA, and a rated efficiency of 97.4% and power factor of 90%. To support motor starting, a MotorVAR system rated at 36 MVAR at 13.2kV, configured in 4 stages, is applied at the motor bus.</a:t>
          </a:fld>
          <a:endParaRPr lang="en-US" sz="1100"/>
        </a:p>
      </xdr:txBody>
    </xdr:sp>
    <xdr:clientData/>
  </xdr:twoCellAnchor>
  <xdr:twoCellAnchor>
    <xdr:from>
      <xdr:col>1</xdr:col>
      <xdr:colOff>174494</xdr:colOff>
      <xdr:row>104</xdr:row>
      <xdr:rowOff>33938</xdr:rowOff>
    </xdr:from>
    <xdr:to>
      <xdr:col>40</xdr:col>
      <xdr:colOff>143276</xdr:colOff>
      <xdr:row>120</xdr:row>
      <xdr:rowOff>217715</xdr:rowOff>
    </xdr:to>
    <xdr:graphicFrame macro="">
      <xdr:nvGraphicFramePr>
        <xdr:cNvPr id="17" name="Chart 16">
          <a:extLst>
            <a:ext uri="{FF2B5EF4-FFF2-40B4-BE49-F238E27FC236}">
              <a16:creationId xmlns:a16="http://schemas.microsoft.com/office/drawing/2014/main" id="{8999710C-2DD9-4ADD-A09D-6ACD83090B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22</xdr:col>
      <xdr:colOff>89647</xdr:colOff>
      <xdr:row>22</xdr:row>
      <xdr:rowOff>56030</xdr:rowOff>
    </xdr:from>
    <xdr:to>
      <xdr:col>40</xdr:col>
      <xdr:colOff>33617</xdr:colOff>
      <xdr:row>46</xdr:row>
      <xdr:rowOff>207581</xdr:rowOff>
    </xdr:to>
    <xdr:pic>
      <xdr:nvPicPr>
        <xdr:cNvPr id="16" name="Graphic 15">
          <a:extLst>
            <a:ext uri="{FF2B5EF4-FFF2-40B4-BE49-F238E27FC236}">
              <a16:creationId xmlns:a16="http://schemas.microsoft.com/office/drawing/2014/main" id="{29126C90-7A09-2111-5291-DCF53E48C99A}"/>
            </a:ext>
          </a:extLst>
        </xdr:cNvPr>
        <xdr:cNvPicPr>
          <a:picLocks noChangeAspect="1"/>
        </xdr:cNvPicPr>
      </xdr:nvPicPr>
      <xdr:blipFill rotWithShape="1">
        <a:blip xmlns:r="http://schemas.openxmlformats.org/officeDocument/2006/relationships" r:embed="rId4">
          <a:extLst>
            <a:ext uri="{96DAC541-7B7A-43D3-8B79-37D633B846F1}">
              <asvg:svgBlip xmlns:asvg="http://schemas.microsoft.com/office/drawing/2016/SVG/main" r:embed="rId5"/>
            </a:ext>
          </a:extLst>
        </a:blip>
        <a:srcRect l="29075" t="13726" r="23558" b="21569"/>
        <a:stretch>
          <a:fillRect/>
        </a:stretch>
      </xdr:blipFill>
      <xdr:spPr>
        <a:xfrm>
          <a:off x="4034118" y="4986618"/>
          <a:ext cx="3171264" cy="5530375"/>
        </a:xfrm>
        <a:prstGeom prst="rect">
          <a:avLst/>
        </a:prstGeom>
      </xdr:spPr>
    </xdr:pic>
    <xdr:clientData/>
  </xdr:twoCellAnchor>
  <xdr:twoCellAnchor>
    <xdr:from>
      <xdr:col>1</xdr:col>
      <xdr:colOff>160885</xdr:colOff>
      <xdr:row>125</xdr:row>
      <xdr:rowOff>78442</xdr:rowOff>
    </xdr:from>
    <xdr:to>
      <xdr:col>40</xdr:col>
      <xdr:colOff>73638</xdr:colOff>
      <xdr:row>143</xdr:row>
      <xdr:rowOff>136073</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BD5CA188-6E60-AA75-8D7C-14F8C31DBA99}"/>
                </a:ext>
              </a:extLst>
            </xdr:cNvPr>
            <xdr:cNvSpPr txBox="1"/>
          </xdr:nvSpPr>
          <xdr:spPr>
            <a:xfrm>
              <a:off x="337778" y="28993621"/>
              <a:ext cx="6811574" cy="42214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spreadsheet implements a steady-state impedance model to estimate motor starting current, voltage sag, and available starting torque for a simplified medium-voltage motor starting system. All calculations are performed per phase using complex impedances.</a:t>
              </a:r>
              <a:br>
                <a:rPr lang="en-US" sz="1100">
                  <a:solidFill>
                    <a:schemeClr val="dk1"/>
                  </a:solidFill>
                  <a:effectLst/>
                  <a:latin typeface="+mn-lt"/>
                  <a:ea typeface="+mn-ea"/>
                  <a:cs typeface="+mn-cs"/>
                </a:rPr>
              </a:br>
              <a:endParaRPr lang="en-US">
                <a:effectLst/>
              </a:endParaRPr>
            </a:p>
            <a:p>
              <a:r>
                <a:rPr lang="en-US" sz="1100">
                  <a:solidFill>
                    <a:schemeClr val="dk1"/>
                  </a:solidFill>
                  <a:effectLst/>
                  <a:latin typeface="+mn-lt"/>
                  <a:ea typeface="+mn-ea"/>
                  <a:cs typeface="+mn-cs"/>
                </a:rPr>
                <a:t>The modeled system consists of a utility source at the point of common coupling (PCC), source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oMath>
              </a14:m>
              <a:r>
                <a:rPr lang="en-US" sz="1100">
                  <a:solidFill>
                    <a:schemeClr val="dk1"/>
                  </a:solidFill>
                  <a:effectLst/>
                  <a:latin typeface="+mn-lt"/>
                  <a:ea typeface="+mn-ea"/>
                  <a:cs typeface="+mn-cs"/>
                </a:rPr>
                <a:t>, transformer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𝑇</m:t>
                      </m:r>
                    </m:sub>
                  </m:sSub>
                </m:oMath>
              </a14:m>
              <a:r>
                <a:rPr lang="en-US" sz="1100">
                  <a:solidFill>
                    <a:schemeClr val="dk1"/>
                  </a:solidFill>
                  <a:effectLst/>
                  <a:latin typeface="+mn-lt"/>
                  <a:ea typeface="+mn-ea"/>
                  <a:cs typeface="+mn-cs"/>
                </a:rPr>
                <a:t>, a secondary bus that also serves as the motor bus,  and an induction motor represented by its locked-rotor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a14:m>
              <a:r>
                <a:rPr lang="en-US" sz="1100">
                  <a:solidFill>
                    <a:schemeClr val="dk1"/>
                  </a:solidFill>
                  <a:effectLst/>
                  <a:latin typeface="+mn-lt"/>
                  <a:ea typeface="+mn-ea"/>
                  <a:cs typeface="+mn-cs"/>
                </a:rPr>
                <a:t>. A MotorVAR capacitor bank is modeled as a shunt capacitive reactance connected at the secondary bus. No additional line or cable impedance between the bus and motor is assumed. The motor rated voltage may differ from the secondary bus voltage.</a:t>
              </a:r>
              <a:br>
                <a:rPr lang="en-US" sz="1100">
                  <a:solidFill>
                    <a:schemeClr val="dk1"/>
                  </a:solidFill>
                  <a:effectLst/>
                  <a:latin typeface="+mn-lt"/>
                  <a:ea typeface="+mn-ea"/>
                  <a:cs typeface="+mn-cs"/>
                </a:rPr>
              </a:br>
              <a:endParaRPr lang="en-US">
                <a:effectLst/>
              </a:endParaRPr>
            </a:p>
            <a:p>
              <a:r>
                <a:rPr lang="en-US" sz="1100">
                  <a:solidFill>
                    <a:schemeClr val="dk1"/>
                  </a:solidFill>
                  <a:effectLst/>
                  <a:latin typeface="+mn-lt"/>
                  <a:ea typeface="+mn-ea"/>
                  <a:cs typeface="+mn-cs"/>
                </a:rPr>
                <a:t>Complex impedances are expressed as: </a:t>
              </a:r>
              <a14:m>
                <m:oMath xmlns:m="http://schemas.openxmlformats.org/officeDocument/2006/math">
                  <m:r>
                    <a:rPr lang="en-US" sz="1100" i="1">
                      <a:solidFill>
                        <a:schemeClr val="dk1"/>
                      </a:solidFill>
                      <a:effectLst/>
                      <a:latin typeface="Cambria Math" panose="02040503050406030204" pitchFamily="18" charset="0"/>
                      <a:ea typeface="+mn-ea"/>
                      <a:cs typeface="+mn-cs"/>
                    </a:rPr>
                    <m:t>𝑍</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𝑅</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𝑗𝑋</m:t>
                  </m:r>
                </m:oMath>
              </a14:m>
              <a:r>
                <a:rPr lang="en-US" sz="1100">
                  <a:solidFill>
                    <a:schemeClr val="dk1"/>
                  </a:solidFill>
                  <a:effectLst/>
                  <a:latin typeface="+mn-lt"/>
                  <a:ea typeface="+mn-ea"/>
                  <a:cs typeface="+mn-cs"/>
                </a:rPr>
                <a:t>. Line-to-line and phase voltages are related by: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𝐿𝐿</m:t>
                          </m:r>
                        </m:sub>
                      </m:sSub>
                    </m:num>
                    <m:den>
                      <m:rad>
                        <m:radPr>
                          <m:degHide m:val="on"/>
                          <m:ctrlPr>
                            <a:rPr lang="en-US" sz="1100" i="1">
                              <a:solidFill>
                                <a:schemeClr val="dk1"/>
                              </a:solidFill>
                              <a:effectLst/>
                              <a:latin typeface="Cambria Math" panose="02040503050406030204" pitchFamily="18" charset="0"/>
                              <a:ea typeface="+mn-ea"/>
                              <a:cs typeface="+mn-cs"/>
                            </a:rPr>
                          </m:ctrlPr>
                        </m:radPr>
                        <m:deg/>
                        <m:e>
                          <m:r>
                            <a:rPr lang="en-US" sz="1100" i="1">
                              <a:solidFill>
                                <a:schemeClr val="dk1"/>
                              </a:solidFill>
                              <a:effectLst/>
                              <a:latin typeface="Cambria Math" panose="02040503050406030204" pitchFamily="18" charset="0"/>
                              <a:ea typeface="+mn-ea"/>
                              <a:cs typeface="+mn-cs"/>
                            </a:rPr>
                            <m:t>3</m:t>
                          </m:r>
                        </m:e>
                      </m:rad>
                    </m:den>
                  </m:f>
                </m:oMath>
              </a14:m>
              <a:r>
                <a:rPr lang="en-US" sz="1100">
                  <a:solidFill>
                    <a:schemeClr val="dk1"/>
                  </a:solidFill>
                  <a:effectLst/>
                  <a:latin typeface="+mn-lt"/>
                  <a:ea typeface="+mn-ea"/>
                  <a:cs typeface="+mn-cs"/>
                </a:rPr>
                <a:t>.  The total upstream impedance is defined as: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𝑇</m:t>
                      </m:r>
                    </m:sub>
                  </m:sSub>
                </m:oMath>
              </a14:m>
              <a:r>
                <a:rPr lang="en-US" sz="1100">
                  <a:solidFill>
                    <a:schemeClr val="dk1"/>
                  </a:solidFill>
                  <a:effectLst/>
                  <a:latin typeface="+mn-lt"/>
                  <a:ea typeface="+mn-ea"/>
                  <a:cs typeface="+mn-cs"/>
                </a:rPr>
                <a:t>.  Motor starting torque is approximated using the square-law voltage relationship: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𝑇</m:t>
                      </m:r>
                    </m:e>
                    <m:sub>
                      <m:r>
                        <a:rPr lang="en-US" sz="1100" i="1">
                          <a:solidFill>
                            <a:schemeClr val="dk1"/>
                          </a:solidFill>
                          <a:effectLst/>
                          <a:latin typeface="Cambria Math" panose="02040503050406030204" pitchFamily="18" charset="0"/>
                          <a:ea typeface="+mn-ea"/>
                          <a:cs typeface="+mn-cs"/>
                        </a:rPr>
                        <m:t>𝑠𝑡𝑎𝑟𝑡</m:t>
                      </m:r>
                      <m:r>
                        <a:rPr lang="en-US" sz="1100" i="1">
                          <a:solidFill>
                            <a:schemeClr val="dk1"/>
                          </a:solidFill>
                          <a:effectLst/>
                          <a:latin typeface="Cambria Math" panose="02040503050406030204" pitchFamily="18" charset="0"/>
                          <a:ea typeface="+mn-ea"/>
                          <a:cs typeface="+mn-cs"/>
                        </a:rPr>
                        <m:t>,</m:t>
                      </m:r>
                      <m:r>
                        <a:rPr lang="en-US" sz="1100">
                          <a:solidFill>
                            <a:schemeClr val="dk1"/>
                          </a:solidFill>
                          <a:effectLst/>
                          <a:latin typeface="Cambria Math" panose="02040503050406030204" pitchFamily="18" charset="0"/>
                          <a:ea typeface="+mn-ea"/>
                          <a:cs typeface="+mn-cs"/>
                        </a:rPr>
                        <m:t>%</m:t>
                      </m:r>
                    </m:sub>
                  </m:sSub>
                  <m:r>
                    <a:rPr lang="en-US" sz="1100" i="1">
                      <a:solidFill>
                        <a:schemeClr val="dk1"/>
                      </a:solidFill>
                      <a:effectLst/>
                      <a:latin typeface="Cambria Math" panose="02040503050406030204" pitchFamily="18" charset="0"/>
                      <a:ea typeface="+mn-ea"/>
                      <a:cs typeface="+mn-cs"/>
                    </a:rPr>
                    <m:t>≈100</m:t>
                  </m:r>
                  <m:r>
                    <a:rPr lang="en-US" sz="1100">
                      <a:solidFill>
                        <a:schemeClr val="dk1"/>
                      </a:solidFill>
                      <a:effectLst/>
                      <a:latin typeface="Cambria Math" panose="02040503050406030204" pitchFamily="18" charset="0"/>
                      <a:ea typeface="+mn-ea"/>
                      <a:cs typeface="+mn-cs"/>
                    </a:rPr>
                    <m:t>%</m:t>
                  </m:r>
                  <m:sSup>
                    <m:sSupPr>
                      <m:ctrlPr>
                        <a:rPr lang="en-US" sz="1100" i="1">
                          <a:solidFill>
                            <a:schemeClr val="dk1"/>
                          </a:solidFill>
                          <a:effectLst/>
                          <a:latin typeface="Cambria Math" panose="02040503050406030204" pitchFamily="18" charset="0"/>
                          <a:ea typeface="+mn-ea"/>
                          <a:cs typeface="+mn-cs"/>
                        </a:rPr>
                      </m:ctrlPr>
                    </m:sSupPr>
                    <m:e>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r>
                                <a:rPr lang="en-US" sz="1100">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𝐿𝐿</m:t>
                                  </m:r>
                                </m:sub>
                              </m:sSub>
                              <m:r>
                                <a:rPr lang="en-US" sz="1100">
                                  <a:solidFill>
                                    <a:schemeClr val="dk1"/>
                                  </a:solidFill>
                                  <a:effectLst/>
                                  <a:latin typeface="Cambria Math" panose="02040503050406030204" pitchFamily="18" charset="0"/>
                                  <a:ea typeface="+mn-ea"/>
                                  <a:cs typeface="+mn-cs"/>
                                </a:rPr>
                                <m:t>∣</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𝑟𝑎𝑡𝑒𝑑</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𝐿𝐿</m:t>
                                  </m:r>
                                </m:sub>
                              </m:sSub>
                            </m:den>
                          </m:f>
                        </m:e>
                      </m:d>
                    </m:e>
                    <m:sup>
                      <m:r>
                        <a:rPr lang="en-US" sz="1100" i="1">
                          <a:solidFill>
                            <a:schemeClr val="dk1"/>
                          </a:solidFill>
                          <a:effectLst/>
                          <a:latin typeface="Cambria Math" panose="02040503050406030204" pitchFamily="18" charset="0"/>
                          <a:ea typeface="+mn-ea"/>
                          <a:cs typeface="+mn-cs"/>
                        </a:rPr>
                        <m:t>2</m:t>
                      </m:r>
                    </m:sup>
                  </m:sSup>
                </m:oMath>
              </a14:m>
              <a:r>
                <a:rPr lang="en-US" sz="1100">
                  <a:solidFill>
                    <a:schemeClr val="dk1"/>
                  </a:solidFill>
                  <a:effectLst/>
                  <a:latin typeface="+mn-lt"/>
                  <a:ea typeface="+mn-ea"/>
                  <a:cs typeface="+mn-cs"/>
                </a:rPr>
                <a:t>.</a:t>
              </a:r>
              <a:br>
                <a:rPr lang="en-US" sz="1100">
                  <a:solidFill>
                    <a:schemeClr val="dk1"/>
                  </a:solidFill>
                  <a:effectLst/>
                  <a:latin typeface="+mn-lt"/>
                  <a:ea typeface="+mn-ea"/>
                  <a:cs typeface="+mn-cs"/>
                </a:rPr>
              </a:b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Baseline Case (No MotorVAR)</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 is connected directly to the secondary bus through the upstream impedance. The equivalent load impedance is: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a14:m>
              <a:r>
                <a:rPr lang="en-US" sz="1100">
                  <a:solidFill>
                    <a:schemeClr val="dk1"/>
                  </a:solidFill>
                  <a:effectLst/>
                  <a:latin typeface="+mn-lt"/>
                  <a:ea typeface="+mn-ea"/>
                  <a:cs typeface="+mn-cs"/>
                </a:rPr>
                <a:t>.  System and motor current: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𝑃𝐶𝐶</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den>
                  </m:f>
                </m:oMath>
              </a14:m>
              <a:r>
                <a:rPr lang="en-US" sz="1100">
                  <a:solidFill>
                    <a:schemeClr val="dk1"/>
                  </a:solidFill>
                  <a:effectLst/>
                  <a:latin typeface="+mn-lt"/>
                  <a:ea typeface="+mn-ea"/>
                  <a:cs typeface="+mn-cs"/>
                </a:rPr>
                <a:t>. Secondary bus and motor terminal voltage: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a14:m>
              <a:r>
                <a:rPr lang="en-US" sz="1100">
                  <a:solidFill>
                    <a:schemeClr val="dk1"/>
                  </a:solidFill>
                  <a:effectLst/>
                  <a:latin typeface="+mn-lt"/>
                  <a:ea typeface="+mn-ea"/>
                  <a:cs typeface="+mn-cs"/>
                </a:rPr>
                <a:t>. This case establishes baseline inrush current, voltage sag, and starting torque.</a:t>
              </a:r>
              <a:endParaRPr lang="en-US">
                <a:effectLst/>
              </a:endParaRPr>
            </a:p>
            <a:p>
              <a:endParaRPr lang="en-US" sz="1100"/>
            </a:p>
          </xdr:txBody>
        </xdr:sp>
      </mc:Choice>
      <mc:Fallback xmlns="">
        <xdr:sp macro="" textlink="">
          <xdr:nvSpPr>
            <xdr:cNvPr id="3" name="TextBox 2">
              <a:extLst>
                <a:ext uri="{FF2B5EF4-FFF2-40B4-BE49-F238E27FC236}">
                  <a16:creationId xmlns:a16="http://schemas.microsoft.com/office/drawing/2014/main" id="{BD5CA188-6E60-AA75-8D7C-14F8C31DBA99}"/>
                </a:ext>
              </a:extLst>
            </xdr:cNvPr>
            <xdr:cNvSpPr txBox="1"/>
          </xdr:nvSpPr>
          <xdr:spPr>
            <a:xfrm>
              <a:off x="337778" y="28993621"/>
              <a:ext cx="6811574" cy="42214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spreadsheet implements a steady-state impedance model to estimate motor starting current, voltage sag, and available starting torque for a simplified medium-voltage motor starting system. All calculations are performed per phase using complex impedances.</a:t>
              </a:r>
              <a:br>
                <a:rPr lang="en-US" sz="1100">
                  <a:solidFill>
                    <a:schemeClr val="dk1"/>
                  </a:solidFill>
                  <a:effectLst/>
                  <a:latin typeface="+mn-lt"/>
                  <a:ea typeface="+mn-ea"/>
                  <a:cs typeface="+mn-cs"/>
                </a:rPr>
              </a:br>
              <a:endParaRPr lang="en-US">
                <a:effectLst/>
              </a:endParaRPr>
            </a:p>
            <a:p>
              <a:r>
                <a:rPr lang="en-US" sz="1100">
                  <a:solidFill>
                    <a:schemeClr val="dk1"/>
                  </a:solidFill>
                  <a:effectLst/>
                  <a:latin typeface="+mn-lt"/>
                  <a:ea typeface="+mn-ea"/>
                  <a:cs typeface="+mn-cs"/>
                </a:rPr>
                <a:t>The modeled system consists of a utility source at the point of common coupling (PCC), source impedance </a:t>
              </a:r>
              <a:r>
                <a:rPr lang="en-US" sz="1100" i="0">
                  <a:solidFill>
                    <a:schemeClr val="dk1"/>
                  </a:solidFill>
                  <a:effectLst/>
                  <a:latin typeface="Cambria Math" panose="02040503050406030204" pitchFamily="18" charset="0"/>
                  <a:ea typeface="+mn-ea"/>
                  <a:cs typeface="+mn-cs"/>
                </a:rPr>
                <a:t>𝑍_𝑆</a:t>
              </a:r>
              <a:r>
                <a:rPr lang="en-US" sz="1100">
                  <a:solidFill>
                    <a:schemeClr val="dk1"/>
                  </a:solidFill>
                  <a:effectLst/>
                  <a:latin typeface="+mn-lt"/>
                  <a:ea typeface="+mn-ea"/>
                  <a:cs typeface="+mn-cs"/>
                </a:rPr>
                <a:t>, transformer impedance </a:t>
              </a:r>
              <a:r>
                <a:rPr lang="en-US" sz="1100" i="0">
                  <a:solidFill>
                    <a:schemeClr val="dk1"/>
                  </a:solidFill>
                  <a:effectLst/>
                  <a:latin typeface="Cambria Math" panose="02040503050406030204" pitchFamily="18" charset="0"/>
                  <a:ea typeface="+mn-ea"/>
                  <a:cs typeface="+mn-cs"/>
                </a:rPr>
                <a:t>𝑍_𝑇</a:t>
              </a:r>
              <a:r>
                <a:rPr lang="en-US" sz="1100">
                  <a:solidFill>
                    <a:schemeClr val="dk1"/>
                  </a:solidFill>
                  <a:effectLst/>
                  <a:latin typeface="+mn-lt"/>
                  <a:ea typeface="+mn-ea"/>
                  <a:cs typeface="+mn-cs"/>
                </a:rPr>
                <a:t>, a secondary bus that also serves as the motor bus,  and an induction motor represented by its locked-rotor impedance </a:t>
              </a:r>
              <a:r>
                <a:rPr lang="en-US" sz="1100" i="0">
                  <a:solidFill>
                    <a:schemeClr val="dk1"/>
                  </a:solidFill>
                  <a:effectLst/>
                  <a:latin typeface="Cambria Math" panose="02040503050406030204" pitchFamily="18" charset="0"/>
                  <a:ea typeface="+mn-ea"/>
                  <a:cs typeface="+mn-cs"/>
                </a:rPr>
                <a:t>𝑍_𝑀</a:t>
              </a:r>
              <a:r>
                <a:rPr lang="en-US" sz="1100">
                  <a:solidFill>
                    <a:schemeClr val="dk1"/>
                  </a:solidFill>
                  <a:effectLst/>
                  <a:latin typeface="+mn-lt"/>
                  <a:ea typeface="+mn-ea"/>
                  <a:cs typeface="+mn-cs"/>
                </a:rPr>
                <a:t>. A MotorVAR capacitor bank is modeled as a shunt capacitive reactance connected at the secondary bus. No additional line or cable impedance between the bus and motor is assumed. The motor rated voltage may differ from the secondary bus voltage.</a:t>
              </a:r>
              <a:br>
                <a:rPr lang="en-US" sz="1100">
                  <a:solidFill>
                    <a:schemeClr val="dk1"/>
                  </a:solidFill>
                  <a:effectLst/>
                  <a:latin typeface="+mn-lt"/>
                  <a:ea typeface="+mn-ea"/>
                  <a:cs typeface="+mn-cs"/>
                </a:rPr>
              </a:br>
              <a:endParaRPr lang="en-US">
                <a:effectLst/>
              </a:endParaRPr>
            </a:p>
            <a:p>
              <a:r>
                <a:rPr lang="en-US" sz="1100">
                  <a:solidFill>
                    <a:schemeClr val="dk1"/>
                  </a:solidFill>
                  <a:effectLst/>
                  <a:latin typeface="+mn-lt"/>
                  <a:ea typeface="+mn-ea"/>
                  <a:cs typeface="+mn-cs"/>
                </a:rPr>
                <a:t>Complex impedances are expressed as: </a:t>
              </a:r>
              <a:r>
                <a:rPr lang="en-US" sz="1100" i="0">
                  <a:solidFill>
                    <a:schemeClr val="dk1"/>
                  </a:solidFill>
                  <a:effectLst/>
                  <a:latin typeface="Cambria Math" panose="02040503050406030204" pitchFamily="18" charset="0"/>
                  <a:ea typeface="+mn-ea"/>
                  <a:cs typeface="+mn-cs"/>
                </a:rPr>
                <a:t>𝑍=𝑅+𝑗𝑋</a:t>
              </a:r>
              <a:r>
                <a:rPr lang="en-US" sz="1100">
                  <a:solidFill>
                    <a:schemeClr val="dk1"/>
                  </a:solidFill>
                  <a:effectLst/>
                  <a:latin typeface="+mn-lt"/>
                  <a:ea typeface="+mn-ea"/>
                  <a:cs typeface="+mn-cs"/>
                </a:rPr>
                <a:t>. Line-to-line and phase voltages are related by: </a:t>
              </a:r>
              <a:r>
                <a:rPr lang="en-US" sz="1100" i="0">
                  <a:solidFill>
                    <a:schemeClr val="dk1"/>
                  </a:solidFill>
                  <a:effectLst/>
                  <a:latin typeface="Cambria Math" panose="02040503050406030204" pitchFamily="18" charset="0"/>
                  <a:ea typeface="+mn-ea"/>
                  <a:cs typeface="+mn-cs"/>
                </a:rPr>
                <a:t>𝑉_𝑝ℎ=𝑉_𝐿𝐿/√3</a:t>
              </a:r>
              <a:r>
                <a:rPr lang="en-US" sz="1100">
                  <a:solidFill>
                    <a:schemeClr val="dk1"/>
                  </a:solidFill>
                  <a:effectLst/>
                  <a:latin typeface="+mn-lt"/>
                  <a:ea typeface="+mn-ea"/>
                  <a:cs typeface="+mn-cs"/>
                </a:rPr>
                <a:t>.  The total upstream impedance is defined as: </a:t>
              </a:r>
              <a:r>
                <a:rPr lang="en-US" sz="1100" i="0">
                  <a:solidFill>
                    <a:schemeClr val="dk1"/>
                  </a:solidFill>
                  <a:effectLst/>
                  <a:latin typeface="Cambria Math" panose="02040503050406030204" pitchFamily="18" charset="0"/>
                  <a:ea typeface="+mn-ea"/>
                  <a:cs typeface="+mn-cs"/>
                </a:rPr>
                <a:t>𝑍_𝑢𝑝=𝑍_𝑆+𝑍_𝑇</a:t>
              </a:r>
              <a:r>
                <a:rPr lang="en-US" sz="1100">
                  <a:solidFill>
                    <a:schemeClr val="dk1"/>
                  </a:solidFill>
                  <a:effectLst/>
                  <a:latin typeface="+mn-lt"/>
                  <a:ea typeface="+mn-ea"/>
                  <a:cs typeface="+mn-cs"/>
                </a:rPr>
                <a:t>.  Motor starting torque is approximated using the square-law voltage relationship: </a:t>
              </a:r>
              <a:r>
                <a:rPr lang="en-US" sz="1100" i="0">
                  <a:solidFill>
                    <a:schemeClr val="dk1"/>
                  </a:solidFill>
                  <a:effectLst/>
                  <a:latin typeface="Cambria Math" panose="02040503050406030204" pitchFamily="18" charset="0"/>
                  <a:ea typeface="+mn-ea"/>
                  <a:cs typeface="+mn-cs"/>
                </a:rPr>
                <a:t>𝑇_(𝑠𝑡𝑎𝑟𝑡,%)≈100%((∣𝑉_(𝑀,𝐿𝐿)∣)/𝑉_(𝑀,𝑟𝑎𝑡𝑒𝑑,𝐿𝐿) )^2</a:t>
              </a:r>
              <a:r>
                <a:rPr lang="en-US" sz="1100">
                  <a:solidFill>
                    <a:schemeClr val="dk1"/>
                  </a:solidFill>
                  <a:effectLst/>
                  <a:latin typeface="+mn-lt"/>
                  <a:ea typeface="+mn-ea"/>
                  <a:cs typeface="+mn-cs"/>
                </a:rPr>
                <a:t>.</a:t>
              </a:r>
              <a:br>
                <a:rPr lang="en-US" sz="1100">
                  <a:solidFill>
                    <a:schemeClr val="dk1"/>
                  </a:solidFill>
                  <a:effectLst/>
                  <a:latin typeface="+mn-lt"/>
                  <a:ea typeface="+mn-ea"/>
                  <a:cs typeface="+mn-cs"/>
                </a:rPr>
              </a:b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Baseline Case (No MotorVAR)</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 is connected directly to the secondary bus through the upstream impedance. The equivalent load impedance is: </a:t>
              </a:r>
              <a:r>
                <a:rPr lang="en-US" sz="1100" i="0">
                  <a:solidFill>
                    <a:schemeClr val="dk1"/>
                  </a:solidFill>
                  <a:effectLst/>
                  <a:latin typeface="Cambria Math" panose="02040503050406030204" pitchFamily="18" charset="0"/>
                  <a:ea typeface="+mn-ea"/>
                  <a:cs typeface="+mn-cs"/>
                </a:rPr>
                <a:t>𝑍_𝑒𝑞=𝑍_𝑀</a:t>
              </a:r>
              <a:r>
                <a:rPr lang="en-US" sz="1100">
                  <a:solidFill>
                    <a:schemeClr val="dk1"/>
                  </a:solidFill>
                  <a:effectLst/>
                  <a:latin typeface="+mn-lt"/>
                  <a:ea typeface="+mn-ea"/>
                  <a:cs typeface="+mn-cs"/>
                </a:rPr>
                <a:t>.  System and motor current: </a:t>
              </a:r>
              <a:r>
                <a:rPr lang="en-US" sz="1100" i="0">
                  <a:solidFill>
                    <a:schemeClr val="dk1"/>
                  </a:solidFill>
                  <a:effectLst/>
                  <a:latin typeface="Cambria Math" panose="02040503050406030204" pitchFamily="18" charset="0"/>
                  <a:ea typeface="+mn-ea"/>
                  <a:cs typeface="+mn-cs"/>
                </a:rPr>
                <a:t>𝐼_𝑃𝐶𝐶=𝐼_𝑀=𝑉_(𝑠𝑜𝑢𝑟𝑐𝑒,𝑝ℎ)/(𝑍_𝑢𝑝+𝑍_𝑀 )</a:t>
              </a:r>
              <a:r>
                <a:rPr lang="en-US" sz="1100">
                  <a:solidFill>
                    <a:schemeClr val="dk1"/>
                  </a:solidFill>
                  <a:effectLst/>
                  <a:latin typeface="+mn-lt"/>
                  <a:ea typeface="+mn-ea"/>
                  <a:cs typeface="+mn-cs"/>
                </a:rPr>
                <a:t>. Secondary bus and motor terminal voltage: </a:t>
              </a:r>
              <a:r>
                <a:rPr lang="en-US" sz="1100" i="0">
                  <a:solidFill>
                    <a:schemeClr val="dk1"/>
                  </a:solidFill>
                  <a:effectLst/>
                  <a:latin typeface="Cambria Math" panose="02040503050406030204" pitchFamily="18" charset="0"/>
                  <a:ea typeface="+mn-ea"/>
                  <a:cs typeface="+mn-cs"/>
                </a:rPr>
                <a:t>𝑉_(𝑆,𝑝ℎ)=𝑉_(𝑀,𝑝ℎ)=𝐼_𝑀 𝑍_𝑀</a:t>
              </a:r>
              <a:r>
                <a:rPr lang="en-US" sz="1100">
                  <a:solidFill>
                    <a:schemeClr val="dk1"/>
                  </a:solidFill>
                  <a:effectLst/>
                  <a:latin typeface="+mn-lt"/>
                  <a:ea typeface="+mn-ea"/>
                  <a:cs typeface="+mn-cs"/>
                </a:rPr>
                <a:t>. This case establishes baseline inrush current, voltage sag, and starting torque.</a:t>
              </a:r>
              <a:endParaRPr lang="en-US">
                <a:effectLst/>
              </a:endParaRPr>
            </a:p>
            <a:p>
              <a:endParaRPr lang="en-US" sz="1100"/>
            </a:p>
          </xdr:txBody>
        </xdr:sp>
      </mc:Fallback>
    </mc:AlternateContent>
    <xdr:clientData/>
  </xdr:twoCellAnchor>
  <xdr:twoCellAnchor editAs="oneCell">
    <xdr:from>
      <xdr:col>50</xdr:col>
      <xdr:colOff>81645</xdr:colOff>
      <xdr:row>56</xdr:row>
      <xdr:rowOff>217714</xdr:rowOff>
    </xdr:from>
    <xdr:to>
      <xdr:col>75</xdr:col>
      <xdr:colOff>95252</xdr:colOff>
      <xdr:row>91</xdr:row>
      <xdr:rowOff>209362</xdr:rowOff>
    </xdr:to>
    <xdr:pic>
      <xdr:nvPicPr>
        <xdr:cNvPr id="18" name="Graphic 17">
          <a:extLst>
            <a:ext uri="{FF2B5EF4-FFF2-40B4-BE49-F238E27FC236}">
              <a16:creationId xmlns:a16="http://schemas.microsoft.com/office/drawing/2014/main" id="{C5105980-E0B5-4BEC-A316-2A0596B05308}"/>
            </a:ext>
          </a:extLst>
        </xdr:cNvPr>
        <xdr:cNvPicPr>
          <a:picLocks noChangeAspect="1"/>
        </xdr:cNvPicPr>
      </xdr:nvPicPr>
      <xdr:blipFill rotWithShape="1">
        <a:blip xmlns:r="http://schemas.openxmlformats.org/officeDocument/2006/relationships" r:embed="rId4">
          <a:extLst>
            <a:ext uri="{96DAC541-7B7A-43D3-8B79-37D633B846F1}">
              <asvg:svgBlip xmlns:asvg="http://schemas.microsoft.com/office/drawing/2016/SVG/main" r:embed="rId5"/>
            </a:ext>
          </a:extLst>
        </a:blip>
        <a:srcRect l="29075" t="13726" r="23558" b="21569"/>
        <a:stretch>
          <a:fillRect/>
        </a:stretch>
      </xdr:blipFill>
      <xdr:spPr>
        <a:xfrm>
          <a:off x="9130395" y="13019314"/>
          <a:ext cx="4537982" cy="7992648"/>
        </a:xfrm>
        <a:prstGeom prst="rect">
          <a:avLst/>
        </a:prstGeom>
      </xdr:spPr>
    </xdr:pic>
    <xdr:clientData/>
  </xdr:twoCellAnchor>
  <xdr:twoCellAnchor>
    <xdr:from>
      <xdr:col>44</xdr:col>
      <xdr:colOff>13607</xdr:colOff>
      <xdr:row>104</xdr:row>
      <xdr:rowOff>190500</xdr:rowOff>
    </xdr:from>
    <xdr:to>
      <xdr:col>82</xdr:col>
      <xdr:colOff>163286</xdr:colOff>
      <xdr:row>110</xdr:row>
      <xdr:rowOff>136072</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F58814DC-2287-AE6A-7F09-1E73B36059D5}"/>
                </a:ext>
              </a:extLst>
            </xdr:cNvPr>
            <xdr:cNvSpPr txBox="1"/>
          </xdr:nvSpPr>
          <xdr:spPr>
            <a:xfrm>
              <a:off x="7796893" y="24247929"/>
              <a:ext cx="6871607" cy="1333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MotorVAR</a:t>
              </a:r>
              <a:r>
                <a:rPr lang="en-US" sz="1100" b="1" baseline="0">
                  <a:solidFill>
                    <a:schemeClr val="dk1"/>
                  </a:solidFill>
                  <a:effectLst/>
                  <a:latin typeface="+mn-lt"/>
                  <a:ea typeface="+mn-ea"/>
                  <a:cs typeface="+mn-cs"/>
                </a:rPr>
                <a:t> Case</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MotorVAR capacitor bank is connected in parallel with the motor at the secondary bus. The capacitor impedance is: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𝑗</m:t>
                  </m:r>
                  <m:f>
                    <m:fPr>
                      <m:ctrlPr>
                        <a:rPr lang="en-US" sz="1100" i="1">
                          <a:solidFill>
                            <a:schemeClr val="dk1"/>
                          </a:solidFill>
                          <a:effectLst/>
                          <a:latin typeface="Cambria Math" panose="02040503050406030204" pitchFamily="18" charset="0"/>
                          <a:ea typeface="+mn-ea"/>
                          <a:cs typeface="+mn-cs"/>
                        </a:rPr>
                      </m:ctrlPr>
                    </m:fPr>
                    <m:num>
                      <m:sSubSup>
                        <m:sSubSupPr>
                          <m:ctrlPr>
                            <a:rPr lang="en-US" sz="1100" i="1">
                              <a:solidFill>
                                <a:schemeClr val="dk1"/>
                              </a:solidFill>
                              <a:effectLst/>
                              <a:latin typeface="Cambria Math" panose="02040503050406030204" pitchFamily="18" charset="0"/>
                              <a:ea typeface="+mn-ea"/>
                              <a:cs typeface="+mn-cs"/>
                            </a:rPr>
                          </m:ctrlPr>
                        </m:sSubSup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𝐿𝐿</m:t>
                          </m:r>
                        </m:sub>
                        <m:sup>
                          <m:r>
                            <a:rPr lang="en-US" sz="1100" i="1">
                              <a:solidFill>
                                <a:schemeClr val="dk1"/>
                              </a:solidFill>
                              <a:effectLst/>
                              <a:latin typeface="Cambria Math" panose="02040503050406030204" pitchFamily="18" charset="0"/>
                              <a:ea typeface="+mn-ea"/>
                              <a:cs typeface="+mn-cs"/>
                            </a:rPr>
                            <m:t>2</m:t>
                          </m:r>
                        </m:sup>
                      </m:sSubSup>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𝑄</m:t>
                          </m:r>
                        </m:e>
                        <m:sub>
                          <m:r>
                            <a:rPr lang="en-US" sz="1100" i="1">
                              <a:solidFill>
                                <a:schemeClr val="dk1"/>
                              </a:solidFill>
                              <a:effectLst/>
                              <a:latin typeface="Cambria Math" panose="02040503050406030204" pitchFamily="18" charset="0"/>
                              <a:ea typeface="+mn-ea"/>
                              <a:cs typeface="+mn-cs"/>
                            </a:rPr>
                            <m:t>𝑀𝑉</m:t>
                          </m:r>
                        </m:sub>
                      </m:sSub>
                    </m:den>
                  </m:f>
                </m:oMath>
              </a14:m>
              <a:r>
                <a:rPr lang="en-US" sz="1100">
                  <a:solidFill>
                    <a:schemeClr val="dk1"/>
                  </a:solidFill>
                  <a:effectLst/>
                  <a:latin typeface="+mn-lt"/>
                  <a:ea typeface="+mn-ea"/>
                  <a:cs typeface="+mn-cs"/>
                </a:rPr>
                <a:t>.  The equivalent bus impedance is: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oMath>
              </a14:m>
              <a:r>
                <a:rPr lang="en-US" sz="1100">
                  <a:solidFill>
                    <a:schemeClr val="dk1"/>
                  </a:solidFill>
                  <a:effectLst/>
                  <a:latin typeface="+mn-lt"/>
                  <a:ea typeface="+mn-ea"/>
                  <a:cs typeface="+mn-cs"/>
                </a:rPr>
                <a:t>.  System current and bus voltage: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𝑃𝐶𝐶</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den>
                  </m:f>
                </m:oMath>
              </a14:m>
              <a:r>
                <a:rPr lang="en-US" sz="1100">
                  <a:solidFill>
                    <a:schemeClr val="dk1"/>
                  </a:solidFill>
                  <a:effectLst/>
                  <a:latin typeface="+mn-lt"/>
                  <a:ea typeface="+mn-ea"/>
                  <a:cs typeface="+mn-cs"/>
                </a:rPr>
                <a:t>.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den>
                  </m:f>
                </m:oMath>
              </a14:m>
              <a:r>
                <a:rPr lang="en-US" sz="1100">
                  <a:solidFill>
                    <a:schemeClr val="dk1"/>
                  </a:solidFill>
                  <a:effectLst/>
                  <a:latin typeface="+mn-lt"/>
                  <a:ea typeface="+mn-ea"/>
                  <a:cs typeface="+mn-cs"/>
                </a:rPr>
                <a:t>.  Branch currents: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den>
                  </m:f>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𝐶</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den>
                  </m:f>
                </m:oMath>
              </a14:m>
              <a:r>
                <a:rPr lang="en-US" sz="1100">
                  <a:solidFill>
                    <a:schemeClr val="dk1"/>
                  </a:solidFill>
                  <a:effectLst/>
                  <a:latin typeface="+mn-lt"/>
                  <a:ea typeface="+mn-ea"/>
                  <a:cs typeface="+mn-cs"/>
                </a:rPr>
                <a:t>.  Motor terminal voltage equals the bus voltage. System inrush current, motor inrush current, voltage sag, and starting torque are evaluated.</a:t>
              </a:r>
              <a:br>
                <a:rPr lang="en-US" sz="1100">
                  <a:solidFill>
                    <a:schemeClr val="dk1"/>
                  </a:solidFill>
                  <a:effectLst/>
                  <a:latin typeface="+mn-lt"/>
                  <a:ea typeface="+mn-ea"/>
                  <a:cs typeface="+mn-cs"/>
                </a:rPr>
              </a:br>
              <a:endParaRPr lang="en-US">
                <a:effectLst/>
              </a:endParaRPr>
            </a:p>
            <a:p>
              <a:endParaRPr lang="en-US" sz="1100"/>
            </a:p>
          </xdr:txBody>
        </xdr:sp>
      </mc:Choice>
      <mc:Fallback xmlns="">
        <xdr:sp macro="" textlink="">
          <xdr:nvSpPr>
            <xdr:cNvPr id="19" name="TextBox 18">
              <a:extLst>
                <a:ext uri="{FF2B5EF4-FFF2-40B4-BE49-F238E27FC236}">
                  <a16:creationId xmlns:a16="http://schemas.microsoft.com/office/drawing/2014/main" id="{F58814DC-2287-AE6A-7F09-1E73B36059D5}"/>
                </a:ext>
              </a:extLst>
            </xdr:cNvPr>
            <xdr:cNvSpPr txBox="1"/>
          </xdr:nvSpPr>
          <xdr:spPr>
            <a:xfrm>
              <a:off x="7796893" y="24247929"/>
              <a:ext cx="6871607" cy="1333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MotorVAR</a:t>
              </a:r>
              <a:r>
                <a:rPr lang="en-US" sz="1100" b="1" baseline="0">
                  <a:solidFill>
                    <a:schemeClr val="dk1"/>
                  </a:solidFill>
                  <a:effectLst/>
                  <a:latin typeface="+mn-lt"/>
                  <a:ea typeface="+mn-ea"/>
                  <a:cs typeface="+mn-cs"/>
                </a:rPr>
                <a:t> Case</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MotorVAR capacitor bank is connected in parallel with the motor at the secondary bus. The capacitor impedance is:  </a:t>
              </a:r>
              <a:r>
                <a:rPr lang="en-US" sz="1100" i="0">
                  <a:solidFill>
                    <a:schemeClr val="dk1"/>
                  </a:solidFill>
                  <a:effectLst/>
                  <a:latin typeface="+mn-lt"/>
                  <a:ea typeface="+mn-ea"/>
                  <a:cs typeface="+mn-cs"/>
                </a:rPr>
                <a:t>𝑍_𝐶=−𝑗 (𝑉_(𝑆,𝐿𝐿)^2)/𝑄_𝑀𝑉 </a:t>
              </a:r>
              <a:r>
                <a:rPr lang="en-US" sz="1100">
                  <a:solidFill>
                    <a:schemeClr val="dk1"/>
                  </a:solidFill>
                  <a:effectLst/>
                  <a:latin typeface="+mn-lt"/>
                  <a:ea typeface="+mn-ea"/>
                  <a:cs typeface="+mn-cs"/>
                </a:rPr>
                <a:t>.  The equivalent bus impedance is: </a:t>
              </a:r>
              <a:r>
                <a:rPr lang="en-US" sz="1100" i="0">
                  <a:solidFill>
                    <a:schemeClr val="dk1"/>
                  </a:solidFill>
                  <a:effectLst/>
                  <a:latin typeface="+mn-lt"/>
                  <a:ea typeface="+mn-ea"/>
                  <a:cs typeface="+mn-cs"/>
                </a:rPr>
                <a:t>𝑍_𝑒𝑞=𝑍_𝑀∥𝑍_𝐶</a:t>
              </a:r>
              <a:r>
                <a:rPr lang="en-US" sz="1100">
                  <a:solidFill>
                    <a:schemeClr val="dk1"/>
                  </a:solidFill>
                  <a:effectLst/>
                  <a:latin typeface="+mn-lt"/>
                  <a:ea typeface="+mn-ea"/>
                  <a:cs typeface="+mn-cs"/>
                </a:rPr>
                <a:t>.  System current and bus voltage: </a:t>
              </a:r>
              <a:r>
                <a:rPr lang="en-US" sz="1100" i="0">
                  <a:solidFill>
                    <a:schemeClr val="dk1"/>
                  </a:solidFill>
                  <a:effectLst/>
                  <a:latin typeface="+mn-lt"/>
                  <a:ea typeface="+mn-ea"/>
                  <a:cs typeface="+mn-cs"/>
                </a:rPr>
                <a:t>𝐼_𝑃𝐶𝐶=𝑉_(𝑠𝑜𝑢𝑟𝑐𝑒,𝑝ℎ)/(𝑍_𝑢𝑝+𝑍_𝑒𝑞 )</a:t>
              </a:r>
              <a:r>
                <a:rPr lang="en-US" sz="1100">
                  <a:solidFill>
                    <a:schemeClr val="dk1"/>
                  </a:solidFill>
                  <a:effectLst/>
                  <a:latin typeface="+mn-lt"/>
                  <a:ea typeface="+mn-ea"/>
                  <a:cs typeface="+mn-cs"/>
                </a:rPr>
                <a:t>.  </a:t>
              </a:r>
              <a:r>
                <a:rPr lang="en-US" sz="1100" i="0">
                  <a:solidFill>
                    <a:schemeClr val="dk1"/>
                  </a:solidFill>
                  <a:effectLst/>
                  <a:latin typeface="+mn-lt"/>
                  <a:ea typeface="+mn-ea"/>
                  <a:cs typeface="+mn-cs"/>
                </a:rPr>
                <a:t>𝑉_(𝑆,𝑝ℎ)=𝑉_(𝑠𝑜𝑢𝑟𝑐𝑒,𝑝ℎ)  𝑍_𝑒𝑞/(𝑍_𝑢𝑝+𝑍_𝑒𝑞 )</a:t>
              </a:r>
              <a:r>
                <a:rPr lang="en-US" sz="1100">
                  <a:solidFill>
                    <a:schemeClr val="dk1"/>
                  </a:solidFill>
                  <a:effectLst/>
                  <a:latin typeface="+mn-lt"/>
                  <a:ea typeface="+mn-ea"/>
                  <a:cs typeface="+mn-cs"/>
                </a:rPr>
                <a:t>.  Branch currents: </a:t>
              </a:r>
              <a:r>
                <a:rPr lang="en-US" sz="1100" i="0">
                  <a:solidFill>
                    <a:schemeClr val="dk1"/>
                  </a:solidFill>
                  <a:effectLst/>
                  <a:latin typeface="+mn-lt"/>
                  <a:ea typeface="+mn-ea"/>
                  <a:cs typeface="+mn-cs"/>
                </a:rPr>
                <a:t>𝐼_𝑀=𝑉_(𝑆,𝑝ℎ)/𝑍_𝑀 ,𝐼_𝐶=𝑉_(𝑆,𝑝ℎ)/𝑍_𝐶 </a:t>
              </a:r>
              <a:r>
                <a:rPr lang="en-US" sz="1100">
                  <a:solidFill>
                    <a:schemeClr val="dk1"/>
                  </a:solidFill>
                  <a:effectLst/>
                  <a:latin typeface="+mn-lt"/>
                  <a:ea typeface="+mn-ea"/>
                  <a:cs typeface="+mn-cs"/>
                </a:rPr>
                <a:t>.  Motor terminal voltage equals the bus voltage. System inrush current, motor inrush current, voltage sag, and starting torque are evaluated.</a:t>
              </a:r>
              <a:br>
                <a:rPr lang="en-US" sz="1100">
                  <a:solidFill>
                    <a:schemeClr val="dk1"/>
                  </a:solidFill>
                  <a:effectLst/>
                  <a:latin typeface="+mn-lt"/>
                  <a:ea typeface="+mn-ea"/>
                  <a:cs typeface="+mn-cs"/>
                </a:rPr>
              </a:br>
              <a:endParaRPr lang="en-US">
                <a:effectLst/>
              </a:endParaRPr>
            </a:p>
            <a:p>
              <a:endParaRPr lang="en-US" sz="1100"/>
            </a:p>
          </xdr:txBody>
        </xdr:sp>
      </mc:Fallback>
    </mc:AlternateContent>
    <xdr:clientData/>
  </xdr:twoCellAnchor>
  <xdr:twoCellAnchor>
    <xdr:from>
      <xdr:col>21</xdr:col>
      <xdr:colOff>13606</xdr:colOff>
      <xdr:row>30</xdr:row>
      <xdr:rowOff>176893</xdr:rowOff>
    </xdr:from>
    <xdr:to>
      <xdr:col>29</xdr:col>
      <xdr:colOff>112938</xdr:colOff>
      <xdr:row>33</xdr:row>
      <xdr:rowOff>63954</xdr:rowOff>
    </xdr:to>
    <xdr:sp macro="" textlink="">
      <xdr:nvSpPr>
        <xdr:cNvPr id="20" name="TextBox 19">
          <a:extLst>
            <a:ext uri="{FF2B5EF4-FFF2-40B4-BE49-F238E27FC236}">
              <a16:creationId xmlns:a16="http://schemas.microsoft.com/office/drawing/2014/main" id="{CBCF5C60-166E-4E91-8796-4609C93798BC}"/>
            </a:ext>
          </a:extLst>
        </xdr:cNvPr>
        <xdr:cNvSpPr txBox="1"/>
      </xdr:nvSpPr>
      <xdr:spPr>
        <a:xfrm>
          <a:off x="3728356" y="7116536"/>
          <a:ext cx="15144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200"/>
            <a:t>Step-Down</a:t>
          </a:r>
          <a:br>
            <a:rPr lang="en-US" sz="1200"/>
          </a:br>
          <a:r>
            <a:rPr lang="en-US" sz="1200"/>
            <a:t>Transformer</a:t>
          </a:r>
        </a:p>
      </xdr:txBody>
    </xdr:sp>
    <xdr:clientData/>
  </xdr:twoCellAnchor>
  <xdr:twoCellAnchor>
    <xdr:from>
      <xdr:col>28</xdr:col>
      <xdr:colOff>122465</xdr:colOff>
      <xdr:row>23</xdr:row>
      <xdr:rowOff>40822</xdr:rowOff>
    </xdr:from>
    <xdr:to>
      <xdr:col>33</xdr:col>
      <xdr:colOff>114301</xdr:colOff>
      <xdr:row>24</xdr:row>
      <xdr:rowOff>28576</xdr:rowOff>
    </xdr:to>
    <xdr:sp macro="" textlink="">
      <xdr:nvSpPr>
        <xdr:cNvPr id="21" name="TextBox 20">
          <a:extLst>
            <a:ext uri="{FF2B5EF4-FFF2-40B4-BE49-F238E27FC236}">
              <a16:creationId xmlns:a16="http://schemas.microsoft.com/office/drawing/2014/main" id="{00924074-BABC-48AE-8238-7F432B12740D}"/>
            </a:ext>
          </a:extLst>
        </xdr:cNvPr>
        <xdr:cNvSpPr txBox="1"/>
      </xdr:nvSpPr>
      <xdr:spPr>
        <a:xfrm>
          <a:off x="5075465" y="5361215"/>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t>Source</a:t>
          </a:r>
        </a:p>
      </xdr:txBody>
    </xdr:sp>
    <xdr:clientData/>
  </xdr:twoCellAnchor>
  <xdr:twoCellAnchor>
    <xdr:from>
      <xdr:col>34</xdr:col>
      <xdr:colOff>163286</xdr:colOff>
      <xdr:row>36</xdr:row>
      <xdr:rowOff>122465</xdr:rowOff>
    </xdr:from>
    <xdr:to>
      <xdr:col>39</xdr:col>
      <xdr:colOff>155122</xdr:colOff>
      <xdr:row>37</xdr:row>
      <xdr:rowOff>110218</xdr:rowOff>
    </xdr:to>
    <xdr:sp macro="" textlink="">
      <xdr:nvSpPr>
        <xdr:cNvPr id="22" name="TextBox 21">
          <a:extLst>
            <a:ext uri="{FF2B5EF4-FFF2-40B4-BE49-F238E27FC236}">
              <a16:creationId xmlns:a16="http://schemas.microsoft.com/office/drawing/2014/main" id="{D5F8F6F3-3393-4743-9374-3005EA6DD3C7}"/>
            </a:ext>
          </a:extLst>
        </xdr:cNvPr>
        <xdr:cNvSpPr txBox="1"/>
      </xdr:nvSpPr>
      <xdr:spPr>
        <a:xfrm>
          <a:off x="6177643" y="8450036"/>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t>M</a:t>
          </a:r>
        </a:p>
      </xdr:txBody>
    </xdr:sp>
    <xdr:clientData/>
  </xdr:twoCellAnchor>
  <xdr:twoCellAnchor>
    <xdr:from>
      <xdr:col>59</xdr:col>
      <xdr:colOff>122464</xdr:colOff>
      <xdr:row>58</xdr:row>
      <xdr:rowOff>108856</xdr:rowOff>
    </xdr:from>
    <xdr:to>
      <xdr:col>64</xdr:col>
      <xdr:colOff>114300</xdr:colOff>
      <xdr:row>59</xdr:row>
      <xdr:rowOff>96610</xdr:rowOff>
    </xdr:to>
    <xdr:sp macro="" textlink="">
      <xdr:nvSpPr>
        <xdr:cNvPr id="23" name="TextBox 22">
          <a:extLst>
            <a:ext uri="{FF2B5EF4-FFF2-40B4-BE49-F238E27FC236}">
              <a16:creationId xmlns:a16="http://schemas.microsoft.com/office/drawing/2014/main" id="{134E6748-E014-4E27-A332-020F69055DF9}"/>
            </a:ext>
          </a:extLst>
        </xdr:cNvPr>
        <xdr:cNvSpPr txBox="1"/>
      </xdr:nvSpPr>
      <xdr:spPr>
        <a:xfrm>
          <a:off x="10559143" y="13525499"/>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t>Source</a:t>
          </a:r>
        </a:p>
      </xdr:txBody>
    </xdr:sp>
    <xdr:clientData/>
  </xdr:twoCellAnchor>
  <xdr:twoCellAnchor>
    <xdr:from>
      <xdr:col>67</xdr:col>
      <xdr:colOff>122465</xdr:colOff>
      <xdr:row>77</xdr:row>
      <xdr:rowOff>136071</xdr:rowOff>
    </xdr:from>
    <xdr:to>
      <xdr:col>72</xdr:col>
      <xdr:colOff>114300</xdr:colOff>
      <xdr:row>78</xdr:row>
      <xdr:rowOff>123825</xdr:rowOff>
    </xdr:to>
    <xdr:sp macro="" textlink="">
      <xdr:nvSpPr>
        <xdr:cNvPr id="24" name="TextBox 23">
          <a:extLst>
            <a:ext uri="{FF2B5EF4-FFF2-40B4-BE49-F238E27FC236}">
              <a16:creationId xmlns:a16="http://schemas.microsoft.com/office/drawing/2014/main" id="{E44F06D6-C039-4673-AFCC-B75B1E299028}"/>
            </a:ext>
          </a:extLst>
        </xdr:cNvPr>
        <xdr:cNvSpPr txBox="1"/>
      </xdr:nvSpPr>
      <xdr:spPr>
        <a:xfrm>
          <a:off x="11974286" y="17947821"/>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a:t>Motor</a:t>
          </a:r>
        </a:p>
      </xdr:txBody>
    </xdr:sp>
    <xdr:clientData/>
  </xdr:twoCellAnchor>
  <xdr:twoCellAnchor>
    <xdr:from>
      <xdr:col>62</xdr:col>
      <xdr:colOff>95251</xdr:colOff>
      <xdr:row>91</xdr:row>
      <xdr:rowOff>131989</xdr:rowOff>
    </xdr:from>
    <xdr:to>
      <xdr:col>83</xdr:col>
      <xdr:colOff>1</xdr:colOff>
      <xdr:row>96</xdr:row>
      <xdr:rowOff>80282</xdr:rowOff>
    </xdr:to>
    <xdr:sp macro="" textlink="">
      <xdr:nvSpPr>
        <xdr:cNvPr id="25" name="TextBox 24">
          <a:extLst>
            <a:ext uri="{FF2B5EF4-FFF2-40B4-BE49-F238E27FC236}">
              <a16:creationId xmlns:a16="http://schemas.microsoft.com/office/drawing/2014/main" id="{AF6D9EDF-E0D7-4519-9167-AAF6CB70D0AE}"/>
            </a:ext>
          </a:extLst>
        </xdr:cNvPr>
        <xdr:cNvSpPr txBox="1"/>
      </xdr:nvSpPr>
      <xdr:spPr>
        <a:xfrm>
          <a:off x="11315701" y="20934589"/>
          <a:ext cx="3705225" cy="1091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One-line diagram showing analysis results for two system configurations: the first, shown in </a:t>
          </a:r>
          <a:r>
            <a:rPr lang="en-US" sz="1100" b="1">
              <a:solidFill>
                <a:srgbClr val="FF0000"/>
              </a:solidFill>
              <a:effectLst/>
              <a:latin typeface="+mn-lt"/>
              <a:ea typeface="+mn-ea"/>
              <a:cs typeface="+mn-cs"/>
            </a:rPr>
            <a:t>red text</a:t>
          </a:r>
          <a:r>
            <a:rPr lang="en-US" sz="1100">
              <a:solidFill>
                <a:schemeClr val="dk1"/>
              </a:solidFill>
              <a:effectLst/>
              <a:latin typeface="+mn-lt"/>
              <a:ea typeface="+mn-ea"/>
              <a:cs typeface="+mn-cs"/>
            </a:rPr>
            <a:t>, represents operation with no assistance from the MotorVAR. A standard accross the line motor start. The second, shown in </a:t>
          </a:r>
          <a:r>
            <a:rPr lang="en-US" sz="1100" b="1">
              <a:solidFill>
                <a:srgbClr val="00B0F0"/>
              </a:solidFill>
              <a:effectLst/>
              <a:latin typeface="+mn-lt"/>
              <a:ea typeface="+mn-ea"/>
              <a:cs typeface="+mn-cs"/>
            </a:rPr>
            <a:t>light blue</a:t>
          </a:r>
          <a:r>
            <a:rPr lang="en-US" sz="1100">
              <a:solidFill>
                <a:schemeClr val="dk1"/>
              </a:solidFill>
              <a:effectLst/>
              <a:latin typeface="+mn-lt"/>
              <a:ea typeface="+mn-ea"/>
              <a:cs typeface="+mn-cs"/>
            </a:rPr>
            <a:t>, represents the</a:t>
          </a:r>
          <a:r>
            <a:rPr lang="en-US" sz="1100" baseline="0">
              <a:solidFill>
                <a:schemeClr val="dk1"/>
              </a:solidFill>
              <a:effectLst/>
              <a:latin typeface="+mn-lt"/>
              <a:ea typeface="+mn-ea"/>
              <a:cs typeface="+mn-cs"/>
            </a:rPr>
            <a:t> performance of the MotorVAR system.</a:t>
          </a:r>
          <a:endParaRPr lang="en-US" sz="1100"/>
        </a:p>
      </xdr:txBody>
    </xdr:sp>
    <xdr:clientData/>
  </xdr:twoCellAnchor>
  <xdr:twoCellAnchor>
    <xdr:from>
      <xdr:col>52</xdr:col>
      <xdr:colOff>13607</xdr:colOff>
      <xdr:row>69</xdr:row>
      <xdr:rowOff>136070</xdr:rowOff>
    </xdr:from>
    <xdr:to>
      <xdr:col>60</xdr:col>
      <xdr:colOff>112940</xdr:colOff>
      <xdr:row>72</xdr:row>
      <xdr:rowOff>23131</xdr:rowOff>
    </xdr:to>
    <xdr:sp macro="" textlink="">
      <xdr:nvSpPr>
        <xdr:cNvPr id="26" name="TextBox 25">
          <a:extLst>
            <a:ext uri="{FF2B5EF4-FFF2-40B4-BE49-F238E27FC236}">
              <a16:creationId xmlns:a16="http://schemas.microsoft.com/office/drawing/2014/main" id="{67910BA1-D2F5-47F7-9CD9-1C2E544DEDF2}"/>
            </a:ext>
          </a:extLst>
        </xdr:cNvPr>
        <xdr:cNvSpPr txBox="1"/>
      </xdr:nvSpPr>
      <xdr:spPr>
        <a:xfrm>
          <a:off x="9212036" y="16097249"/>
          <a:ext cx="15144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a:t>Step-Down</a:t>
          </a:r>
          <a:br>
            <a:rPr lang="en-US" sz="1100"/>
          </a:br>
          <a:r>
            <a:rPr lang="en-US" sz="1100"/>
            <a:t>Transformer</a:t>
          </a:r>
        </a:p>
      </xdr:txBody>
    </xdr:sp>
    <xdr:clientData/>
  </xdr:twoCellAnchor>
  <xdr:twoCellAnchor>
    <xdr:from>
      <xdr:col>30</xdr:col>
      <xdr:colOff>0</xdr:colOff>
      <xdr:row>41</xdr:row>
      <xdr:rowOff>161925</xdr:rowOff>
    </xdr:from>
    <xdr:to>
      <xdr:col>35</xdr:col>
      <xdr:colOff>38100</xdr:colOff>
      <xdr:row>42</xdr:row>
      <xdr:rowOff>219075</xdr:rowOff>
    </xdr:to>
    <xdr:sp macro="" textlink="">
      <xdr:nvSpPr>
        <xdr:cNvPr id="27" name="TextBox 26">
          <a:extLst>
            <a:ext uri="{FF2B5EF4-FFF2-40B4-BE49-F238E27FC236}">
              <a16:creationId xmlns:a16="http://schemas.microsoft.com/office/drawing/2014/main" id="{D1CB37DA-1694-4974-45AE-AED23F973370}"/>
            </a:ext>
          </a:extLst>
        </xdr:cNvPr>
        <xdr:cNvSpPr txBox="1"/>
      </xdr:nvSpPr>
      <xdr:spPr>
        <a:xfrm>
          <a:off x="5429250" y="9534525"/>
          <a:ext cx="9429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Controls</a:t>
          </a:r>
        </a:p>
      </xdr:txBody>
    </xdr:sp>
    <xdr:clientData/>
  </xdr:twoCellAnchor>
  <xdr:twoCellAnchor>
    <xdr:from>
      <xdr:col>61</xdr:col>
      <xdr:colOff>142875</xdr:colOff>
      <xdr:row>84</xdr:row>
      <xdr:rowOff>171450</xdr:rowOff>
    </xdr:from>
    <xdr:to>
      <xdr:col>67</xdr:col>
      <xdr:colOff>0</xdr:colOff>
      <xdr:row>86</xdr:row>
      <xdr:rowOff>0</xdr:rowOff>
    </xdr:to>
    <xdr:sp macro="" textlink="">
      <xdr:nvSpPr>
        <xdr:cNvPr id="28" name="TextBox 27">
          <a:extLst>
            <a:ext uri="{FF2B5EF4-FFF2-40B4-BE49-F238E27FC236}">
              <a16:creationId xmlns:a16="http://schemas.microsoft.com/office/drawing/2014/main" id="{2C2C89B1-4F56-44B4-AE91-3FA9DCDB9422}"/>
            </a:ext>
          </a:extLst>
        </xdr:cNvPr>
        <xdr:cNvSpPr txBox="1"/>
      </xdr:nvSpPr>
      <xdr:spPr>
        <a:xfrm>
          <a:off x="11182350" y="19373850"/>
          <a:ext cx="9429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Controls</a:t>
          </a:r>
        </a:p>
      </xdr:txBody>
    </xdr:sp>
    <xdr:clientData/>
  </xdr:twoCellAnchor>
  <xdr:twoCellAnchor>
    <xdr:from>
      <xdr:col>58</xdr:col>
      <xdr:colOff>25253</xdr:colOff>
      <xdr:row>57</xdr:row>
      <xdr:rowOff>133350</xdr:rowOff>
    </xdr:from>
    <xdr:to>
      <xdr:col>59</xdr:col>
      <xdr:colOff>84084</xdr:colOff>
      <xdr:row>64</xdr:row>
      <xdr:rowOff>42607</xdr:rowOff>
    </xdr:to>
    <xdr:sp macro="" textlink="DJ9">
      <xdr:nvSpPr>
        <xdr:cNvPr id="29" name="TextBox 28">
          <a:extLst>
            <a:ext uri="{FF2B5EF4-FFF2-40B4-BE49-F238E27FC236}">
              <a16:creationId xmlns:a16="http://schemas.microsoft.com/office/drawing/2014/main" id="{AE7A072F-8B99-4D21-B7B5-E1EC26CA0533}"/>
            </a:ext>
          </a:extLst>
        </xdr:cNvPr>
        <xdr:cNvSpPr txBox="1"/>
      </xdr:nvSpPr>
      <xdr:spPr>
        <a:xfrm rot="16200000">
          <a:off x="9886977" y="13798376"/>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FEEF677-928C-4F26-B4FA-AF979A4D6D2B}" type="TxLink">
            <a:rPr lang="en-US" sz="1100" b="0" i="0" u="none" strike="noStrike">
              <a:solidFill>
                <a:srgbClr val="FF0000"/>
              </a:solidFill>
              <a:latin typeface="Calibri"/>
              <a:ea typeface="Calibri"/>
              <a:cs typeface="Calibri"/>
            </a:rPr>
            <a:pPr/>
            <a:t>301.5%</a:t>
          </a:fld>
          <a:endParaRPr lang="en-US" sz="1100">
            <a:solidFill>
              <a:srgbClr val="FF0000"/>
            </a:solidFill>
          </a:endParaRPr>
        </a:p>
      </xdr:txBody>
    </xdr:sp>
    <xdr:clientData/>
  </xdr:twoCellAnchor>
  <xdr:twoCellAnchor>
    <xdr:from>
      <xdr:col>56</xdr:col>
      <xdr:colOff>57150</xdr:colOff>
      <xdr:row>60</xdr:row>
      <xdr:rowOff>42916</xdr:rowOff>
    </xdr:from>
    <xdr:to>
      <xdr:col>59</xdr:col>
      <xdr:colOff>9525</xdr:colOff>
      <xdr:row>65</xdr:row>
      <xdr:rowOff>133403</xdr:rowOff>
    </xdr:to>
    <xdr:sp macro="" textlink="">
      <xdr:nvSpPr>
        <xdr:cNvPr id="30" name="TextBox 29">
          <a:extLst>
            <a:ext uri="{FF2B5EF4-FFF2-40B4-BE49-F238E27FC236}">
              <a16:creationId xmlns:a16="http://schemas.microsoft.com/office/drawing/2014/main" id="{2FB8C0F4-96CC-435D-B4F2-6E2FA3D88F2F}"/>
            </a:ext>
          </a:extLst>
        </xdr:cNvPr>
        <xdr:cNvSpPr txBox="1"/>
      </xdr:nvSpPr>
      <xdr:spPr>
        <a:xfrm rot="16200000">
          <a:off x="9822656" y="14128010"/>
          <a:ext cx="1233487"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Current During</a:t>
          </a:r>
          <a:br>
            <a:rPr lang="en-US" sz="1100"/>
          </a:br>
          <a:r>
            <a:rPr lang="en-US" sz="1100"/>
            <a:t>Start (%FLA)</a:t>
          </a:r>
        </a:p>
        <a:p>
          <a:endParaRPr lang="en-US" sz="1100"/>
        </a:p>
      </xdr:txBody>
    </xdr:sp>
    <xdr:clientData/>
  </xdr:twoCellAnchor>
  <xdr:twoCellAnchor>
    <xdr:from>
      <xdr:col>60</xdr:col>
      <xdr:colOff>130622</xdr:colOff>
      <xdr:row>61</xdr:row>
      <xdr:rowOff>207222</xdr:rowOff>
    </xdr:from>
    <xdr:to>
      <xdr:col>60</xdr:col>
      <xdr:colOff>140487</xdr:colOff>
      <xdr:row>65</xdr:row>
      <xdr:rowOff>190500</xdr:rowOff>
    </xdr:to>
    <xdr:cxnSp macro="">
      <xdr:nvCxnSpPr>
        <xdr:cNvPr id="31" name="Straight Arrow Connector 30">
          <a:extLst>
            <a:ext uri="{FF2B5EF4-FFF2-40B4-BE49-F238E27FC236}">
              <a16:creationId xmlns:a16="http://schemas.microsoft.com/office/drawing/2014/main" id="{2D3B914C-F0D3-490F-88A4-F33F2262C14D}"/>
            </a:ext>
          </a:extLst>
        </xdr:cNvPr>
        <xdr:cNvCxnSpPr/>
      </xdr:nvCxnSpPr>
      <xdr:spPr>
        <a:xfrm flipH="1">
          <a:off x="10989122" y="14151822"/>
          <a:ext cx="9865" cy="897678"/>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161926</xdr:colOff>
      <xdr:row>57</xdr:row>
      <xdr:rowOff>142875</xdr:rowOff>
    </xdr:from>
    <xdr:to>
      <xdr:col>60</xdr:col>
      <xdr:colOff>39782</xdr:colOff>
      <xdr:row>64</xdr:row>
      <xdr:rowOff>52132</xdr:rowOff>
    </xdr:to>
    <xdr:sp macro="" textlink="ER9">
      <xdr:nvSpPr>
        <xdr:cNvPr id="32" name="TextBox 31">
          <a:extLst>
            <a:ext uri="{FF2B5EF4-FFF2-40B4-BE49-F238E27FC236}">
              <a16:creationId xmlns:a16="http://schemas.microsoft.com/office/drawing/2014/main" id="{CD02F956-E80D-4812-B59A-D8278EDFD1E6}"/>
            </a:ext>
          </a:extLst>
        </xdr:cNvPr>
        <xdr:cNvSpPr txBox="1"/>
      </xdr:nvSpPr>
      <xdr:spPr>
        <a:xfrm rot="16200000">
          <a:off x="10023650" y="13807901"/>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80EEAF8-FE4B-4225-A096-0552B926D21F}" type="TxLink">
            <a:rPr lang="en-US" sz="1100" b="1" i="0" u="none" strike="noStrike">
              <a:solidFill>
                <a:srgbClr val="00B0F0"/>
              </a:solidFill>
              <a:latin typeface="Calibri"/>
              <a:ea typeface="Calibri"/>
              <a:cs typeface="Calibri"/>
            </a:rPr>
            <a:pPr/>
            <a:t>96.0%</a:t>
          </a:fld>
          <a:endParaRPr lang="en-US" sz="1100" b="1">
            <a:solidFill>
              <a:srgbClr val="00B0F0"/>
            </a:solidFill>
          </a:endParaRPr>
        </a:p>
      </xdr:txBody>
    </xdr:sp>
    <xdr:clientData/>
  </xdr:twoCellAnchor>
  <xdr:twoCellAnchor>
    <xdr:from>
      <xdr:col>58</xdr:col>
      <xdr:colOff>130026</xdr:colOff>
      <xdr:row>71</xdr:row>
      <xdr:rowOff>142875</xdr:rowOff>
    </xdr:from>
    <xdr:to>
      <xdr:col>60</xdr:col>
      <xdr:colOff>7882</xdr:colOff>
      <xdr:row>78</xdr:row>
      <xdr:rowOff>52132</xdr:rowOff>
    </xdr:to>
    <xdr:sp macro="" textlink="EW25">
      <xdr:nvSpPr>
        <xdr:cNvPr id="34" name="TextBox 33">
          <a:extLst>
            <a:ext uri="{FF2B5EF4-FFF2-40B4-BE49-F238E27FC236}">
              <a16:creationId xmlns:a16="http://schemas.microsoft.com/office/drawing/2014/main" id="{0D75640C-FCD3-4162-9E39-7F77CFAF2655}"/>
            </a:ext>
          </a:extLst>
        </xdr:cNvPr>
        <xdr:cNvSpPr txBox="1"/>
      </xdr:nvSpPr>
      <xdr:spPr>
        <a:xfrm rot="16200000">
          <a:off x="9991750" y="17008301"/>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962D7B7-D9B7-4A5F-8C29-0DF582A1BFC2}" type="TxLink">
            <a:rPr lang="en-US" sz="1100" b="0" i="0" u="none" strike="noStrike">
              <a:solidFill>
                <a:srgbClr val="00B0F0"/>
              </a:solidFill>
              <a:latin typeface="Calibri"/>
              <a:ea typeface="Calibri"/>
              <a:cs typeface="Calibri"/>
            </a:rPr>
            <a:pPr/>
            <a:t>1395.59</a:t>
          </a:fld>
          <a:endParaRPr lang="en-US" sz="1100" b="1">
            <a:solidFill>
              <a:srgbClr val="00B0F0"/>
            </a:solidFill>
          </a:endParaRPr>
        </a:p>
      </xdr:txBody>
    </xdr:sp>
    <xdr:clientData/>
  </xdr:twoCellAnchor>
  <xdr:twoCellAnchor>
    <xdr:from>
      <xdr:col>54</xdr:col>
      <xdr:colOff>142875</xdr:colOff>
      <xdr:row>74</xdr:row>
      <xdr:rowOff>52441</xdr:rowOff>
    </xdr:from>
    <xdr:to>
      <xdr:col>58</xdr:col>
      <xdr:colOff>85725</xdr:colOff>
      <xdr:row>79</xdr:row>
      <xdr:rowOff>142928</xdr:rowOff>
    </xdr:to>
    <xdr:sp macro="" textlink="">
      <xdr:nvSpPr>
        <xdr:cNvPr id="35" name="TextBox 34">
          <a:extLst>
            <a:ext uri="{FF2B5EF4-FFF2-40B4-BE49-F238E27FC236}">
              <a16:creationId xmlns:a16="http://schemas.microsoft.com/office/drawing/2014/main" id="{0C333A7E-E61C-40FA-9707-D2C3176C3BEB}"/>
            </a:ext>
          </a:extLst>
        </xdr:cNvPr>
        <xdr:cNvSpPr txBox="1"/>
      </xdr:nvSpPr>
      <xdr:spPr>
        <a:xfrm rot="16200000">
          <a:off x="9632156" y="17252210"/>
          <a:ext cx="1233487"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Current Assist from MotorVAR</a:t>
          </a:r>
          <a:r>
            <a:rPr lang="en-US" sz="1100" baseline="0"/>
            <a:t> (amps)</a:t>
          </a:r>
          <a:endParaRPr lang="en-US" sz="1100"/>
        </a:p>
      </xdr:txBody>
    </xdr:sp>
    <xdr:clientData/>
  </xdr:twoCellAnchor>
  <xdr:twoCellAnchor>
    <xdr:from>
      <xdr:col>60</xdr:col>
      <xdr:colOff>123822</xdr:colOff>
      <xdr:row>75</xdr:row>
      <xdr:rowOff>12360</xdr:rowOff>
    </xdr:from>
    <xdr:to>
      <xdr:col>60</xdr:col>
      <xdr:colOff>123822</xdr:colOff>
      <xdr:row>78</xdr:row>
      <xdr:rowOff>164760</xdr:rowOff>
    </xdr:to>
    <xdr:cxnSp macro="">
      <xdr:nvCxnSpPr>
        <xdr:cNvPr id="36" name="Straight Arrow Connector 35">
          <a:extLst>
            <a:ext uri="{FF2B5EF4-FFF2-40B4-BE49-F238E27FC236}">
              <a16:creationId xmlns:a16="http://schemas.microsoft.com/office/drawing/2014/main" id="{CE06C2BF-94B3-45F2-8196-E54130D5FC1E}"/>
            </a:ext>
          </a:extLst>
        </xdr:cNvPr>
        <xdr:cNvCxnSpPr/>
      </xdr:nvCxnSpPr>
      <xdr:spPr>
        <a:xfrm flipV="1">
          <a:off x="10982322" y="17157360"/>
          <a:ext cx="0" cy="83820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152402</xdr:colOff>
      <xdr:row>71</xdr:row>
      <xdr:rowOff>104776</xdr:rowOff>
    </xdr:from>
    <xdr:to>
      <xdr:col>59</xdr:col>
      <xdr:colOff>30258</xdr:colOff>
      <xdr:row>78</xdr:row>
      <xdr:rowOff>14033</xdr:rowOff>
    </xdr:to>
    <xdr:sp macro="" textlink="EW25">
      <xdr:nvSpPr>
        <xdr:cNvPr id="37" name="TextBox 36">
          <a:extLst>
            <a:ext uri="{FF2B5EF4-FFF2-40B4-BE49-F238E27FC236}">
              <a16:creationId xmlns:a16="http://schemas.microsoft.com/office/drawing/2014/main" id="{D7C36397-8662-4BB7-8147-8A0B81FE5E1D}"/>
            </a:ext>
          </a:extLst>
        </xdr:cNvPr>
        <xdr:cNvSpPr txBox="1"/>
      </xdr:nvSpPr>
      <xdr:spPr>
        <a:xfrm rot="16200000">
          <a:off x="9833151" y="16970202"/>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rgbClr val="FF0000"/>
              </a:solidFill>
              <a:latin typeface="Calibri"/>
              <a:ea typeface="Calibri"/>
              <a:cs typeface="Calibri"/>
            </a:rPr>
            <a:t>0.0</a:t>
          </a:r>
        </a:p>
        <a:p>
          <a:r>
            <a:rPr lang="en-US" sz="1100" b="0" i="0" u="none" strike="noStrike">
              <a:solidFill>
                <a:srgbClr val="FF0000"/>
              </a:solidFill>
              <a:latin typeface="Calibri"/>
              <a:ea typeface="Calibri"/>
              <a:cs typeface="Calibri"/>
            </a:rPr>
            <a:t> </a:t>
          </a:r>
          <a:endParaRPr lang="en-US" sz="1100" b="1">
            <a:solidFill>
              <a:srgbClr val="FF0000"/>
            </a:solidFill>
          </a:endParaRPr>
        </a:p>
      </xdr:txBody>
    </xdr:sp>
    <xdr:clientData/>
  </xdr:twoCellAnchor>
  <xdr:twoCellAnchor>
    <xdr:from>
      <xdr:col>71</xdr:col>
      <xdr:colOff>133350</xdr:colOff>
      <xdr:row>77</xdr:row>
      <xdr:rowOff>66675</xdr:rowOff>
    </xdr:from>
    <xdr:to>
      <xdr:col>81</xdr:col>
      <xdr:colOff>17210</xdr:colOff>
      <xdr:row>78</xdr:row>
      <xdr:rowOff>75160</xdr:rowOff>
    </xdr:to>
    <xdr:sp macro="" textlink="BH15">
      <xdr:nvSpPr>
        <xdr:cNvPr id="38" name="TextBox 37">
          <a:extLst>
            <a:ext uri="{FF2B5EF4-FFF2-40B4-BE49-F238E27FC236}">
              <a16:creationId xmlns:a16="http://schemas.microsoft.com/office/drawing/2014/main" id="{7C7985B5-7036-419B-9B67-28B73855C3C7}"/>
            </a:ext>
          </a:extLst>
        </xdr:cNvPr>
        <xdr:cNvSpPr txBox="1"/>
      </xdr:nvSpPr>
      <xdr:spPr>
        <a:xfrm>
          <a:off x="12982575" y="17668875"/>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5CECED1-D129-43E0-9F22-203483DB49D4}" type="TxLink">
            <a:rPr lang="en-US" sz="1100" b="1" i="0" u="none" strike="noStrike">
              <a:solidFill>
                <a:srgbClr val="FF0000"/>
              </a:solidFill>
              <a:latin typeface="Calibri"/>
              <a:ea typeface="Calibri"/>
              <a:cs typeface="Calibri"/>
            </a:rPr>
            <a:pPr/>
            <a:t>36.4%</a:t>
          </a:fld>
          <a:endParaRPr lang="en-US" sz="1100"/>
        </a:p>
      </xdr:txBody>
    </xdr:sp>
    <xdr:clientData/>
  </xdr:twoCellAnchor>
  <xdr:twoCellAnchor>
    <xdr:from>
      <xdr:col>69</xdr:col>
      <xdr:colOff>66675</xdr:colOff>
      <xdr:row>75</xdr:row>
      <xdr:rowOff>190500</xdr:rowOff>
    </xdr:from>
    <xdr:to>
      <xdr:col>77</xdr:col>
      <xdr:colOff>19050</xdr:colOff>
      <xdr:row>77</xdr:row>
      <xdr:rowOff>180975</xdr:rowOff>
    </xdr:to>
    <xdr:sp macro="" textlink="">
      <xdr:nvSpPr>
        <xdr:cNvPr id="41" name="TextBox 40">
          <a:extLst>
            <a:ext uri="{FF2B5EF4-FFF2-40B4-BE49-F238E27FC236}">
              <a16:creationId xmlns:a16="http://schemas.microsoft.com/office/drawing/2014/main" id="{263D541A-D56C-425A-A35D-736D1B8BFEC6}"/>
            </a:ext>
          </a:extLst>
        </xdr:cNvPr>
        <xdr:cNvSpPr txBox="1"/>
      </xdr:nvSpPr>
      <xdr:spPr>
        <a:xfrm>
          <a:off x="12553950" y="17335500"/>
          <a:ext cx="1400175"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 Torque</a:t>
          </a:r>
          <a:br>
            <a:rPr lang="en-US" sz="1100"/>
          </a:br>
          <a:r>
            <a:rPr lang="en-US" sz="1100"/>
            <a:t>During Start</a:t>
          </a:r>
        </a:p>
      </xdr:txBody>
    </xdr:sp>
    <xdr:clientData/>
  </xdr:twoCellAnchor>
  <xdr:twoCellAnchor>
    <xdr:from>
      <xdr:col>73</xdr:col>
      <xdr:colOff>104775</xdr:colOff>
      <xdr:row>75</xdr:row>
      <xdr:rowOff>180975</xdr:rowOff>
    </xdr:from>
    <xdr:to>
      <xdr:col>81</xdr:col>
      <xdr:colOff>57150</xdr:colOff>
      <xdr:row>78</xdr:row>
      <xdr:rowOff>47625</xdr:rowOff>
    </xdr:to>
    <xdr:sp macro="" textlink="">
      <xdr:nvSpPr>
        <xdr:cNvPr id="42" name="TextBox 41">
          <a:extLst>
            <a:ext uri="{FF2B5EF4-FFF2-40B4-BE49-F238E27FC236}">
              <a16:creationId xmlns:a16="http://schemas.microsoft.com/office/drawing/2014/main" id="{AD0CF4BB-36B5-436A-95FF-BDE458F29651}"/>
            </a:ext>
          </a:extLst>
        </xdr:cNvPr>
        <xdr:cNvSpPr txBox="1"/>
      </xdr:nvSpPr>
      <xdr:spPr>
        <a:xfrm>
          <a:off x="13315950" y="17325975"/>
          <a:ext cx="140017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br>
            <a:rPr lang="en-US" sz="1100"/>
          </a:br>
          <a:r>
            <a:rPr lang="en-US" sz="1100"/>
            <a:t>(amps)</a:t>
          </a:r>
        </a:p>
      </xdr:txBody>
    </xdr:sp>
    <xdr:clientData/>
  </xdr:twoCellAnchor>
  <xdr:twoCellAnchor>
    <xdr:from>
      <xdr:col>70</xdr:col>
      <xdr:colOff>161925</xdr:colOff>
      <xdr:row>77</xdr:row>
      <xdr:rowOff>114300</xdr:rowOff>
    </xdr:from>
    <xdr:to>
      <xdr:col>75</xdr:col>
      <xdr:colOff>85725</xdr:colOff>
      <xdr:row>77</xdr:row>
      <xdr:rowOff>114300</xdr:rowOff>
    </xdr:to>
    <xdr:cxnSp macro="">
      <xdr:nvCxnSpPr>
        <xdr:cNvPr id="45" name="Straight Connector 44">
          <a:extLst>
            <a:ext uri="{FF2B5EF4-FFF2-40B4-BE49-F238E27FC236}">
              <a16:creationId xmlns:a16="http://schemas.microsoft.com/office/drawing/2014/main" id="{3022CC3B-4EB9-4041-8921-7155C02BC7AA}"/>
            </a:ext>
          </a:extLst>
        </xdr:cNvPr>
        <xdr:cNvCxnSpPr/>
      </xdr:nvCxnSpPr>
      <xdr:spPr>
        <a:xfrm>
          <a:off x="12830175" y="17716500"/>
          <a:ext cx="828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133350</xdr:colOff>
      <xdr:row>77</xdr:row>
      <xdr:rowOff>114300</xdr:rowOff>
    </xdr:from>
    <xdr:to>
      <xdr:col>78</xdr:col>
      <xdr:colOff>142875</xdr:colOff>
      <xdr:row>77</xdr:row>
      <xdr:rowOff>114300</xdr:rowOff>
    </xdr:to>
    <xdr:cxnSp macro="">
      <xdr:nvCxnSpPr>
        <xdr:cNvPr id="46" name="Straight Connector 45">
          <a:extLst>
            <a:ext uri="{FF2B5EF4-FFF2-40B4-BE49-F238E27FC236}">
              <a16:creationId xmlns:a16="http://schemas.microsoft.com/office/drawing/2014/main" id="{92FDD525-C1DA-4CAB-84BC-60EB4E9B6324}"/>
            </a:ext>
          </a:extLst>
        </xdr:cNvPr>
        <xdr:cNvCxnSpPr/>
      </xdr:nvCxnSpPr>
      <xdr:spPr>
        <a:xfrm>
          <a:off x="13706475" y="17716500"/>
          <a:ext cx="552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79</xdr:col>
      <xdr:colOff>171450</xdr:colOff>
      <xdr:row>77</xdr:row>
      <xdr:rowOff>114300</xdr:rowOff>
    </xdr:from>
    <xdr:to>
      <xdr:col>83</xdr:col>
      <xdr:colOff>104775</xdr:colOff>
      <xdr:row>77</xdr:row>
      <xdr:rowOff>114300</xdr:rowOff>
    </xdr:to>
    <xdr:cxnSp macro="">
      <xdr:nvCxnSpPr>
        <xdr:cNvPr id="47" name="Straight Connector 46">
          <a:extLst>
            <a:ext uri="{FF2B5EF4-FFF2-40B4-BE49-F238E27FC236}">
              <a16:creationId xmlns:a16="http://schemas.microsoft.com/office/drawing/2014/main" id="{D88B12A6-9861-416B-809D-B34BEF26881F}"/>
            </a:ext>
          </a:extLst>
        </xdr:cNvPr>
        <xdr:cNvCxnSpPr/>
      </xdr:nvCxnSpPr>
      <xdr:spPr>
        <a:xfrm>
          <a:off x="14468475" y="17716500"/>
          <a:ext cx="657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76</xdr:col>
      <xdr:colOff>57150</xdr:colOff>
      <xdr:row>75</xdr:row>
      <xdr:rowOff>133350</xdr:rowOff>
    </xdr:from>
    <xdr:to>
      <xdr:col>82</xdr:col>
      <xdr:colOff>101975</xdr:colOff>
      <xdr:row>76</xdr:row>
      <xdr:rowOff>205228</xdr:rowOff>
    </xdr:to>
    <xdr:sp macro="" textlink="">
      <xdr:nvSpPr>
        <xdr:cNvPr id="48" name="TextBox 47">
          <a:extLst>
            <a:ext uri="{FF2B5EF4-FFF2-40B4-BE49-F238E27FC236}">
              <a16:creationId xmlns:a16="http://schemas.microsoft.com/office/drawing/2014/main" id="{BC88BE2A-0616-4020-AB94-607072A84574}"/>
            </a:ext>
          </a:extLst>
        </xdr:cNvPr>
        <xdr:cNvSpPr txBox="1"/>
      </xdr:nvSpPr>
      <xdr:spPr>
        <a:xfrm>
          <a:off x="13811250" y="17278350"/>
          <a:ext cx="1130675" cy="300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Starting Current</a:t>
          </a:r>
        </a:p>
      </xdr:txBody>
    </xdr:sp>
    <xdr:clientData/>
  </xdr:twoCellAnchor>
  <xdr:twoCellAnchor>
    <xdr:from>
      <xdr:col>76</xdr:col>
      <xdr:colOff>19050</xdr:colOff>
      <xdr:row>76</xdr:row>
      <xdr:rowOff>133350</xdr:rowOff>
    </xdr:from>
    <xdr:to>
      <xdr:col>83</xdr:col>
      <xdr:colOff>114300</xdr:colOff>
      <xdr:row>76</xdr:row>
      <xdr:rowOff>133350</xdr:rowOff>
    </xdr:to>
    <xdr:cxnSp macro="">
      <xdr:nvCxnSpPr>
        <xdr:cNvPr id="49" name="Straight Connector 48">
          <a:extLst>
            <a:ext uri="{FF2B5EF4-FFF2-40B4-BE49-F238E27FC236}">
              <a16:creationId xmlns:a16="http://schemas.microsoft.com/office/drawing/2014/main" id="{A68D99A0-B759-45A0-8D65-4C1147824EBA}"/>
            </a:ext>
          </a:extLst>
        </xdr:cNvPr>
        <xdr:cNvCxnSpPr/>
      </xdr:nvCxnSpPr>
      <xdr:spPr>
        <a:xfrm>
          <a:off x="13773150" y="17506950"/>
          <a:ext cx="1362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78</xdr:col>
      <xdr:colOff>9525</xdr:colOff>
      <xdr:row>76</xdr:row>
      <xdr:rowOff>114300</xdr:rowOff>
    </xdr:from>
    <xdr:to>
      <xdr:col>85</xdr:col>
      <xdr:colOff>19050</xdr:colOff>
      <xdr:row>77</xdr:row>
      <xdr:rowOff>133350</xdr:rowOff>
    </xdr:to>
    <xdr:sp macro="" textlink="">
      <xdr:nvSpPr>
        <xdr:cNvPr id="62" name="TextBox 61">
          <a:extLst>
            <a:ext uri="{FF2B5EF4-FFF2-40B4-BE49-F238E27FC236}">
              <a16:creationId xmlns:a16="http://schemas.microsoft.com/office/drawing/2014/main" id="{8E9DAB92-65B2-4338-BE72-937E793464B6}"/>
            </a:ext>
          </a:extLst>
        </xdr:cNvPr>
        <xdr:cNvSpPr txBox="1"/>
      </xdr:nvSpPr>
      <xdr:spPr>
        <a:xfrm>
          <a:off x="14125575" y="17487900"/>
          <a:ext cx="12763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(%FLA)</a:t>
          </a:r>
        </a:p>
      </xdr:txBody>
    </xdr:sp>
    <xdr:clientData/>
  </xdr:twoCellAnchor>
  <xdr:twoCellAnchor>
    <xdr:from>
      <xdr:col>71</xdr:col>
      <xdr:colOff>142875</xdr:colOff>
      <xdr:row>77</xdr:row>
      <xdr:rowOff>219075</xdr:rowOff>
    </xdr:from>
    <xdr:to>
      <xdr:col>81</xdr:col>
      <xdr:colOff>26735</xdr:colOff>
      <xdr:row>78</xdr:row>
      <xdr:rowOff>227560</xdr:rowOff>
    </xdr:to>
    <xdr:sp macro="" textlink="BS15">
      <xdr:nvSpPr>
        <xdr:cNvPr id="63" name="TextBox 62">
          <a:extLst>
            <a:ext uri="{FF2B5EF4-FFF2-40B4-BE49-F238E27FC236}">
              <a16:creationId xmlns:a16="http://schemas.microsoft.com/office/drawing/2014/main" id="{10F6BF2C-95A1-45E0-823B-359F42365A3C}"/>
            </a:ext>
          </a:extLst>
        </xdr:cNvPr>
        <xdr:cNvSpPr txBox="1"/>
      </xdr:nvSpPr>
      <xdr:spPr>
        <a:xfrm>
          <a:off x="12992100" y="17821275"/>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2262AC8-90BA-4CED-A6C4-860154120479}" type="TxLink">
            <a:rPr lang="en-US" sz="1100" b="0" i="0" u="none" strike="noStrike">
              <a:solidFill>
                <a:srgbClr val="0E9ED9"/>
              </a:solidFill>
              <a:latin typeface="Calibri"/>
              <a:ea typeface="Calibri"/>
              <a:cs typeface="Calibri"/>
            </a:rPr>
            <a:pPr/>
            <a:t>78.4%</a:t>
          </a:fld>
          <a:endParaRPr lang="en-US" sz="1100"/>
        </a:p>
      </xdr:txBody>
    </xdr:sp>
    <xdr:clientData/>
  </xdr:twoCellAnchor>
  <xdr:twoCellAnchor>
    <xdr:from>
      <xdr:col>75</xdr:col>
      <xdr:colOff>171450</xdr:colOff>
      <xdr:row>77</xdr:row>
      <xdr:rowOff>66675</xdr:rowOff>
    </xdr:from>
    <xdr:to>
      <xdr:col>85</xdr:col>
      <xdr:colOff>55310</xdr:colOff>
      <xdr:row>78</xdr:row>
      <xdr:rowOff>75160</xdr:rowOff>
    </xdr:to>
    <xdr:sp macro="" textlink="DJ8">
      <xdr:nvSpPr>
        <xdr:cNvPr id="64" name="TextBox 63">
          <a:extLst>
            <a:ext uri="{FF2B5EF4-FFF2-40B4-BE49-F238E27FC236}">
              <a16:creationId xmlns:a16="http://schemas.microsoft.com/office/drawing/2014/main" id="{90210FE8-38D9-45B5-A781-C66BC26C2A25}"/>
            </a:ext>
          </a:extLst>
        </xdr:cNvPr>
        <xdr:cNvSpPr txBox="1"/>
      </xdr:nvSpPr>
      <xdr:spPr>
        <a:xfrm>
          <a:off x="13744575" y="17668875"/>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74D1525-E06A-44B1-B490-B1B7F3380FC0}" type="TxLink">
            <a:rPr lang="en-US" sz="1100" b="1" i="0" u="none" strike="noStrike">
              <a:solidFill>
                <a:srgbClr val="FF0000"/>
              </a:solidFill>
              <a:latin typeface="Calibri"/>
              <a:ea typeface="Calibri"/>
              <a:cs typeface="Calibri"/>
            </a:rPr>
            <a:pPr/>
            <a:t>1061</a:t>
          </a:fld>
          <a:endParaRPr lang="en-US" sz="1100" b="1">
            <a:solidFill>
              <a:srgbClr val="FF0000"/>
            </a:solidFill>
          </a:endParaRPr>
        </a:p>
      </xdr:txBody>
    </xdr:sp>
    <xdr:clientData/>
  </xdr:twoCellAnchor>
  <xdr:twoCellAnchor>
    <xdr:from>
      <xdr:col>75</xdr:col>
      <xdr:colOff>171450</xdr:colOff>
      <xdr:row>77</xdr:row>
      <xdr:rowOff>209550</xdr:rowOff>
    </xdr:from>
    <xdr:to>
      <xdr:col>85</xdr:col>
      <xdr:colOff>55310</xdr:colOff>
      <xdr:row>78</xdr:row>
      <xdr:rowOff>218035</xdr:rowOff>
    </xdr:to>
    <xdr:sp macro="" textlink="ER11">
      <xdr:nvSpPr>
        <xdr:cNvPr id="65" name="TextBox 64">
          <a:extLst>
            <a:ext uri="{FF2B5EF4-FFF2-40B4-BE49-F238E27FC236}">
              <a16:creationId xmlns:a16="http://schemas.microsoft.com/office/drawing/2014/main" id="{5238090B-82A7-42DF-B96A-6B3D6DBB0E59}"/>
            </a:ext>
          </a:extLst>
        </xdr:cNvPr>
        <xdr:cNvSpPr txBox="1"/>
      </xdr:nvSpPr>
      <xdr:spPr>
        <a:xfrm>
          <a:off x="13744575" y="17811750"/>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C7D8C63-FD11-4506-8780-1DA6493A5EE1}" type="TxLink">
            <a:rPr lang="en-US" sz="1100" b="1" i="0" u="none" strike="noStrike">
              <a:solidFill>
                <a:srgbClr val="00B0F0"/>
              </a:solidFill>
              <a:latin typeface="Calibri"/>
              <a:ea typeface="Calibri"/>
              <a:cs typeface="Calibri"/>
            </a:rPr>
            <a:pPr/>
            <a:t>1558</a:t>
          </a:fld>
          <a:endParaRPr lang="en-US" sz="1100" b="1">
            <a:solidFill>
              <a:srgbClr val="00B0F0"/>
            </a:solidFill>
          </a:endParaRPr>
        </a:p>
      </xdr:txBody>
    </xdr:sp>
    <xdr:clientData/>
  </xdr:twoCellAnchor>
  <xdr:twoCellAnchor>
    <xdr:from>
      <xdr:col>79</xdr:col>
      <xdr:colOff>152400</xdr:colOff>
      <xdr:row>77</xdr:row>
      <xdr:rowOff>66675</xdr:rowOff>
    </xdr:from>
    <xdr:to>
      <xdr:col>89</xdr:col>
      <xdr:colOff>36260</xdr:colOff>
      <xdr:row>78</xdr:row>
      <xdr:rowOff>75160</xdr:rowOff>
    </xdr:to>
    <xdr:sp macro="" textlink="BH12">
      <xdr:nvSpPr>
        <xdr:cNvPr id="66" name="TextBox 65">
          <a:extLst>
            <a:ext uri="{FF2B5EF4-FFF2-40B4-BE49-F238E27FC236}">
              <a16:creationId xmlns:a16="http://schemas.microsoft.com/office/drawing/2014/main" id="{7C32750F-14B5-46A0-BE40-B2CA78D24FF3}"/>
            </a:ext>
          </a:extLst>
        </xdr:cNvPr>
        <xdr:cNvSpPr txBox="1"/>
      </xdr:nvSpPr>
      <xdr:spPr>
        <a:xfrm>
          <a:off x="14449425" y="17668875"/>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9F0EA06-8430-40E1-884E-A33DE3E10EEB}" type="TxLink">
            <a:rPr lang="en-US" sz="1100" b="1" i="0" u="none" strike="noStrike">
              <a:solidFill>
                <a:srgbClr val="FF0000"/>
              </a:solidFill>
              <a:latin typeface="Calibri"/>
              <a:ea typeface="Calibri"/>
              <a:cs typeface="Calibri"/>
            </a:rPr>
            <a:pPr/>
            <a:t>301.5%</a:t>
          </a:fld>
          <a:endParaRPr lang="en-US" sz="1100" b="1"/>
        </a:p>
      </xdr:txBody>
    </xdr:sp>
    <xdr:clientData/>
  </xdr:twoCellAnchor>
  <xdr:twoCellAnchor>
    <xdr:from>
      <xdr:col>79</xdr:col>
      <xdr:colOff>142875</xdr:colOff>
      <xdr:row>77</xdr:row>
      <xdr:rowOff>209550</xdr:rowOff>
    </xdr:from>
    <xdr:to>
      <xdr:col>89</xdr:col>
      <xdr:colOff>26735</xdr:colOff>
      <xdr:row>78</xdr:row>
      <xdr:rowOff>218035</xdr:rowOff>
    </xdr:to>
    <xdr:sp macro="" textlink="BS12">
      <xdr:nvSpPr>
        <xdr:cNvPr id="67" name="TextBox 66">
          <a:extLst>
            <a:ext uri="{FF2B5EF4-FFF2-40B4-BE49-F238E27FC236}">
              <a16:creationId xmlns:a16="http://schemas.microsoft.com/office/drawing/2014/main" id="{3B72697D-9072-486A-B2D2-AC384B08BE33}"/>
            </a:ext>
          </a:extLst>
        </xdr:cNvPr>
        <xdr:cNvSpPr txBox="1"/>
      </xdr:nvSpPr>
      <xdr:spPr>
        <a:xfrm>
          <a:off x="14439900" y="17811750"/>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7235E69-29E3-4B53-B9C5-576D4B9881D2}" type="TxLink">
            <a:rPr lang="en-US" sz="1100" b="0" i="0" u="none" strike="noStrike">
              <a:solidFill>
                <a:srgbClr val="0E9ED9"/>
              </a:solidFill>
              <a:latin typeface="Calibri"/>
              <a:ea typeface="Calibri"/>
              <a:cs typeface="Calibri"/>
            </a:rPr>
            <a:pPr/>
            <a:t>442.6%</a:t>
          </a:fld>
          <a:endParaRPr lang="en-US" sz="1100"/>
        </a:p>
      </xdr:txBody>
    </xdr:sp>
    <xdr:clientData/>
  </xdr:twoCellAnchor>
  <xdr:twoCellAnchor>
    <xdr:from>
      <xdr:col>70</xdr:col>
      <xdr:colOff>111564</xdr:colOff>
      <xdr:row>65</xdr:row>
      <xdr:rowOff>18910</xdr:rowOff>
    </xdr:from>
    <xdr:to>
      <xdr:col>78</xdr:col>
      <xdr:colOff>20489</xdr:colOff>
      <xdr:row>66</xdr:row>
      <xdr:rowOff>30116</xdr:rowOff>
    </xdr:to>
    <xdr:sp macro="" textlink="BH22">
      <xdr:nvSpPr>
        <xdr:cNvPr id="68" name="TextBox 67">
          <a:extLst>
            <a:ext uri="{FF2B5EF4-FFF2-40B4-BE49-F238E27FC236}">
              <a16:creationId xmlns:a16="http://schemas.microsoft.com/office/drawing/2014/main" id="{99B6DACE-456C-4018-A871-F0C6F4C2D42B}"/>
            </a:ext>
          </a:extLst>
        </xdr:cNvPr>
        <xdr:cNvSpPr txBox="1"/>
      </xdr:nvSpPr>
      <xdr:spPr>
        <a:xfrm rot="19260591">
          <a:off x="12779814" y="14877910"/>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7058E45-0C0A-42D8-BCE4-23956CC91E4D}" type="TxLink">
            <a:rPr lang="en-US" sz="1100" b="1" i="0" u="none" strike="noStrike">
              <a:solidFill>
                <a:srgbClr val="FF0000"/>
              </a:solidFill>
              <a:latin typeface="Calibri"/>
              <a:ea typeface="Calibri"/>
              <a:cs typeface="Calibri"/>
            </a:rPr>
            <a:pPr/>
            <a:t>68.1%</a:t>
          </a:fld>
          <a:endParaRPr lang="en-US" sz="1100"/>
        </a:p>
      </xdr:txBody>
    </xdr:sp>
    <xdr:clientData/>
  </xdr:twoCellAnchor>
  <xdr:twoCellAnchor>
    <xdr:from>
      <xdr:col>68</xdr:col>
      <xdr:colOff>66675</xdr:colOff>
      <xdr:row>64</xdr:row>
      <xdr:rowOff>219076</xdr:rowOff>
    </xdr:from>
    <xdr:to>
      <xdr:col>74</xdr:col>
      <xdr:colOff>167411</xdr:colOff>
      <xdr:row>67</xdr:row>
      <xdr:rowOff>28885</xdr:rowOff>
    </xdr:to>
    <xdr:sp macro="" textlink="">
      <xdr:nvSpPr>
        <xdr:cNvPr id="69" name="TextBox 68">
          <a:extLst>
            <a:ext uri="{FF2B5EF4-FFF2-40B4-BE49-F238E27FC236}">
              <a16:creationId xmlns:a16="http://schemas.microsoft.com/office/drawing/2014/main" id="{BE9BBBFF-EF85-47DE-884B-65706CCEA986}"/>
            </a:ext>
          </a:extLst>
        </xdr:cNvPr>
        <xdr:cNvSpPr txBox="1"/>
      </xdr:nvSpPr>
      <xdr:spPr>
        <a:xfrm rot="19229337">
          <a:off x="12372975" y="14849476"/>
          <a:ext cx="1186586" cy="4956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Voltage During Start</a:t>
          </a:r>
        </a:p>
        <a:p>
          <a:pPr algn="ctr"/>
          <a:endParaRPr lang="en-US" sz="1100"/>
        </a:p>
      </xdr:txBody>
    </xdr:sp>
    <xdr:clientData/>
  </xdr:twoCellAnchor>
  <xdr:twoCellAnchor>
    <xdr:from>
      <xdr:col>71</xdr:col>
      <xdr:colOff>19050</xdr:colOff>
      <xdr:row>65</xdr:row>
      <xdr:rowOff>123825</xdr:rowOff>
    </xdr:from>
    <xdr:to>
      <xdr:col>78</xdr:col>
      <xdr:colOff>108950</xdr:colOff>
      <xdr:row>66</xdr:row>
      <xdr:rowOff>135031</xdr:rowOff>
    </xdr:to>
    <xdr:sp macro="" textlink="BS22">
      <xdr:nvSpPr>
        <xdr:cNvPr id="70" name="TextBox 69">
          <a:extLst>
            <a:ext uri="{FF2B5EF4-FFF2-40B4-BE49-F238E27FC236}">
              <a16:creationId xmlns:a16="http://schemas.microsoft.com/office/drawing/2014/main" id="{3DF662CD-E239-4516-B054-EC5593C9DE22}"/>
            </a:ext>
          </a:extLst>
        </xdr:cNvPr>
        <xdr:cNvSpPr txBox="1"/>
      </xdr:nvSpPr>
      <xdr:spPr>
        <a:xfrm rot="19260591">
          <a:off x="12868275" y="14982825"/>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2CB3B17-2AB6-4236-AE55-DC69085E5053}" type="TxLink">
            <a:rPr lang="en-US" sz="1100" b="1" i="0" u="none" strike="noStrike">
              <a:solidFill>
                <a:srgbClr val="0E9ED9"/>
              </a:solidFill>
              <a:latin typeface="Calibri"/>
              <a:ea typeface="Calibri"/>
              <a:cs typeface="Calibri"/>
            </a:rPr>
            <a:pPr/>
            <a:t>94.3%</a:t>
          </a:fld>
          <a:endParaRPr lang="en-US" sz="1100"/>
        </a:p>
      </xdr:txBody>
    </xdr:sp>
    <xdr:clientData/>
  </xdr:twoCellAnchor>
  <xdr:twoCellAnchor>
    <xdr:from>
      <xdr:col>75</xdr:col>
      <xdr:colOff>44889</xdr:colOff>
      <xdr:row>70</xdr:row>
      <xdr:rowOff>47484</xdr:rowOff>
    </xdr:from>
    <xdr:to>
      <xdr:col>82</xdr:col>
      <xdr:colOff>134789</xdr:colOff>
      <xdr:row>71</xdr:row>
      <xdr:rowOff>58690</xdr:rowOff>
    </xdr:to>
    <xdr:sp macro="" textlink="BH26">
      <xdr:nvSpPr>
        <xdr:cNvPr id="71" name="TextBox 70">
          <a:extLst>
            <a:ext uri="{FF2B5EF4-FFF2-40B4-BE49-F238E27FC236}">
              <a16:creationId xmlns:a16="http://schemas.microsoft.com/office/drawing/2014/main" id="{BC976000-B19A-4681-B0C6-F634FE941BBE}"/>
            </a:ext>
          </a:extLst>
        </xdr:cNvPr>
        <xdr:cNvSpPr txBox="1"/>
      </xdr:nvSpPr>
      <xdr:spPr>
        <a:xfrm rot="19260591">
          <a:off x="13618014" y="16049484"/>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231894-653C-40BC-BBB8-8196D82D7ACC}" type="TxLink">
            <a:rPr lang="en-US" sz="1100" b="1" i="0" u="none" strike="noStrike">
              <a:solidFill>
                <a:srgbClr val="FF0000"/>
              </a:solidFill>
              <a:latin typeface="Calibri"/>
              <a:ea typeface="Calibri"/>
              <a:cs typeface="Calibri"/>
            </a:rPr>
            <a:pPr/>
            <a:t>63.8%</a:t>
          </a:fld>
          <a:endParaRPr lang="en-US" sz="1100"/>
        </a:p>
      </xdr:txBody>
    </xdr:sp>
    <xdr:clientData/>
  </xdr:twoCellAnchor>
  <xdr:twoCellAnchor>
    <xdr:from>
      <xdr:col>73</xdr:col>
      <xdr:colOff>0</xdr:colOff>
      <xdr:row>70</xdr:row>
      <xdr:rowOff>19050</xdr:rowOff>
    </xdr:from>
    <xdr:to>
      <xdr:col>79</xdr:col>
      <xdr:colOff>100736</xdr:colOff>
      <xdr:row>72</xdr:row>
      <xdr:rowOff>57459</xdr:rowOff>
    </xdr:to>
    <xdr:sp macro="" textlink="">
      <xdr:nvSpPr>
        <xdr:cNvPr id="72" name="TextBox 71">
          <a:extLst>
            <a:ext uri="{FF2B5EF4-FFF2-40B4-BE49-F238E27FC236}">
              <a16:creationId xmlns:a16="http://schemas.microsoft.com/office/drawing/2014/main" id="{86A94961-7CA4-414F-AE96-A438A08AEFA9}"/>
            </a:ext>
          </a:extLst>
        </xdr:cNvPr>
        <xdr:cNvSpPr txBox="1"/>
      </xdr:nvSpPr>
      <xdr:spPr>
        <a:xfrm rot="19229337">
          <a:off x="13211175" y="16021050"/>
          <a:ext cx="1186586" cy="4956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Voltage During Start</a:t>
          </a:r>
        </a:p>
        <a:p>
          <a:pPr algn="ctr"/>
          <a:endParaRPr lang="en-US" sz="1100"/>
        </a:p>
      </xdr:txBody>
    </xdr:sp>
    <xdr:clientData/>
  </xdr:twoCellAnchor>
  <xdr:twoCellAnchor>
    <xdr:from>
      <xdr:col>75</xdr:col>
      <xdr:colOff>123825</xdr:colOff>
      <xdr:row>70</xdr:row>
      <xdr:rowOff>161924</xdr:rowOff>
    </xdr:from>
    <xdr:to>
      <xdr:col>83</xdr:col>
      <xdr:colOff>32750</xdr:colOff>
      <xdr:row>71</xdr:row>
      <xdr:rowOff>173130</xdr:rowOff>
    </xdr:to>
    <xdr:sp macro="" textlink="BS26">
      <xdr:nvSpPr>
        <xdr:cNvPr id="73" name="TextBox 72">
          <a:extLst>
            <a:ext uri="{FF2B5EF4-FFF2-40B4-BE49-F238E27FC236}">
              <a16:creationId xmlns:a16="http://schemas.microsoft.com/office/drawing/2014/main" id="{272B37AE-D3A9-4226-8996-270127650A86}"/>
            </a:ext>
          </a:extLst>
        </xdr:cNvPr>
        <xdr:cNvSpPr txBox="1"/>
      </xdr:nvSpPr>
      <xdr:spPr>
        <a:xfrm rot="19260591">
          <a:off x="13696950" y="16163924"/>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B4A2343-9864-4A0E-B617-F3C0DBCAD4CB}" type="TxLink">
            <a:rPr lang="en-US" sz="1100" b="1" i="0" u="none" strike="noStrike">
              <a:solidFill>
                <a:srgbClr val="0E9ED9"/>
              </a:solidFill>
              <a:latin typeface="Calibri"/>
              <a:ea typeface="Calibri"/>
              <a:cs typeface="Calibri"/>
            </a:rPr>
            <a:pPr/>
            <a:t>93.7%</a:t>
          </a:fld>
          <a:endParaRPr 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0.6969</cdr:x>
      <cdr:y>0.34043</cdr:y>
    </cdr:from>
    <cdr:to>
      <cdr:x>0.95189</cdr:x>
      <cdr:y>0.59831</cdr:y>
    </cdr:to>
    <cdr:sp macro="" textlink="">
      <cdr:nvSpPr>
        <cdr:cNvPr id="3" name="TextBox 2">
          <a:extLst xmlns:a="http://schemas.openxmlformats.org/drawingml/2006/main">
            <a:ext uri="{FF2B5EF4-FFF2-40B4-BE49-F238E27FC236}">
              <a16:creationId xmlns:a16="http://schemas.microsoft.com/office/drawing/2014/main" id="{70DDCE72-E470-F5A7-E8E9-17D23400F2EE}"/>
            </a:ext>
          </a:extLst>
        </cdr:cNvPr>
        <cdr:cNvSpPr txBox="1"/>
      </cdr:nvSpPr>
      <cdr:spPr>
        <a:xfrm xmlns:a="http://schemas.openxmlformats.org/drawingml/2006/main">
          <a:off x="4894168" y="1307726"/>
          <a:ext cx="1790700" cy="990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0.68877</cdr:x>
      <cdr:y>0.28836</cdr:y>
    </cdr:from>
    <cdr:to>
      <cdr:x>0.9763</cdr:x>
      <cdr:y>0.57847</cdr:y>
    </cdr:to>
    <cdr:sp macro="" textlink="">
      <cdr:nvSpPr>
        <cdr:cNvPr id="4" name="TextBox 3">
          <a:extLst xmlns:a="http://schemas.openxmlformats.org/drawingml/2006/main">
            <a:ext uri="{FF2B5EF4-FFF2-40B4-BE49-F238E27FC236}">
              <a16:creationId xmlns:a16="http://schemas.microsoft.com/office/drawing/2014/main" id="{6E111F01-544B-7DF7-E1D8-92DD06011B4C}"/>
            </a:ext>
          </a:extLst>
        </cdr:cNvPr>
        <cdr:cNvSpPr txBox="1"/>
      </cdr:nvSpPr>
      <cdr:spPr>
        <a:xfrm xmlns:a="http://schemas.openxmlformats.org/drawingml/2006/main">
          <a:off x="4837018" y="1107701"/>
          <a:ext cx="2019300" cy="1114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0.69826</cdr:x>
      <cdr:y>0.271</cdr:y>
    </cdr:from>
    <cdr:to>
      <cdr:x>0.93968</cdr:x>
      <cdr:y>0.56607</cdr:y>
    </cdr:to>
    <cdr:sp macro="" textlink="">
      <cdr:nvSpPr>
        <cdr:cNvPr id="5" name="TextBox 4">
          <a:extLst xmlns:a="http://schemas.openxmlformats.org/drawingml/2006/main">
            <a:ext uri="{FF2B5EF4-FFF2-40B4-BE49-F238E27FC236}">
              <a16:creationId xmlns:a16="http://schemas.microsoft.com/office/drawing/2014/main" id="{44BC2E09-2715-0F8C-2CCF-068E32103E3A}"/>
            </a:ext>
          </a:extLst>
        </cdr:cNvPr>
        <cdr:cNvSpPr txBox="1"/>
      </cdr:nvSpPr>
      <cdr:spPr>
        <a:xfrm xmlns:a="http://schemas.openxmlformats.org/drawingml/2006/main">
          <a:off x="4903693" y="1041026"/>
          <a:ext cx="1695450" cy="1133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0.70911</cdr:x>
      <cdr:y>0.30572</cdr:y>
    </cdr:from>
    <cdr:to>
      <cdr:x>0.98173</cdr:x>
      <cdr:y>0.56111</cdr:y>
    </cdr:to>
    <cdr:sp macro="" textlink="">
      <cdr:nvSpPr>
        <cdr:cNvPr id="6" name="TextBox 5">
          <a:extLst xmlns:a="http://schemas.openxmlformats.org/drawingml/2006/main">
            <a:ext uri="{FF2B5EF4-FFF2-40B4-BE49-F238E27FC236}">
              <a16:creationId xmlns:a16="http://schemas.microsoft.com/office/drawing/2014/main" id="{D2921E1F-225D-78F3-84A0-87A3EA34FF9D}"/>
            </a:ext>
          </a:extLst>
        </cdr:cNvPr>
        <cdr:cNvSpPr txBox="1"/>
      </cdr:nvSpPr>
      <cdr:spPr>
        <a:xfrm xmlns:a="http://schemas.openxmlformats.org/drawingml/2006/main">
          <a:off x="4979893" y="1174376"/>
          <a:ext cx="1914525" cy="981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userShapes>
</file>

<file path=xl/drawings/drawing4.xml><?xml version="1.0" encoding="utf-8"?>
<xdr:wsDr xmlns:xdr="http://schemas.openxmlformats.org/drawingml/2006/spreadsheetDrawing" xmlns:a="http://schemas.openxmlformats.org/drawingml/2006/main">
  <xdr:twoCellAnchor>
    <xdr:from>
      <xdr:col>2</xdr:col>
      <xdr:colOff>27214</xdr:colOff>
      <xdr:row>85</xdr:row>
      <xdr:rowOff>27216</xdr:rowOff>
    </xdr:from>
    <xdr:to>
      <xdr:col>41</xdr:col>
      <xdr:colOff>8804</xdr:colOff>
      <xdr:row>94</xdr:row>
      <xdr:rowOff>157685</xdr:rowOff>
    </xdr:to>
    <xdr:sp macro="" textlink="DE65">
      <xdr:nvSpPr>
        <xdr:cNvPr id="16" name="TextBox 15">
          <a:extLst>
            <a:ext uri="{FF2B5EF4-FFF2-40B4-BE49-F238E27FC236}">
              <a16:creationId xmlns:a16="http://schemas.microsoft.com/office/drawing/2014/main" id="{7447B2B7-EA57-4C2B-9FE2-DBCB96CF9DB6}"/>
            </a:ext>
          </a:extLst>
        </xdr:cNvPr>
        <xdr:cNvSpPr txBox="1"/>
      </xdr:nvSpPr>
      <xdr:spPr>
        <a:xfrm>
          <a:off x="389164" y="19458216"/>
          <a:ext cx="7039615" cy="2187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5926822-BE98-479E-8B3F-FE3E5A5ABEEA}" type="TxLink">
            <a:rPr lang="en-US" sz="1100" b="0" i="0" u="none" strike="noStrike">
              <a:solidFill>
                <a:srgbClr val="000000"/>
              </a:solidFill>
              <a:latin typeface="Calibri"/>
              <a:ea typeface="Calibri"/>
              <a:cs typeface="Calibri"/>
            </a:rPr>
            <a:pPr/>
            <a:t>When adding a coordinated RVSS, the combined MotorVAR + RVSS system provides additional improvement in overall system performance compared to a MotorVAR-only solution. During motor starting, the 34.5 kV bus voltage improves from approxmately 84.5% to 103.9% of nominal, while the 12.47kV bus voltage improves from approximately 82.5% to 104.5%.
This improvement is driven by the RVSS current-limiting function, set to 250% of motor FLA. While current limiting improves voltage performance, it also reduces the current delivered to the motor and, consequently, the available starting torque. In this case, motor starting torque is reduced from 55.6% with MotorVAR only to approximately 25% with the combined MotorVAR + RVSS system.
It is therefore critical to verify that the available starting torque remains sufficient to accelerate the driven load under all expected starting conditions.</a:t>
          </a:fld>
          <a:endParaRPr lang="en-US" sz="1100"/>
        </a:p>
      </xdr:txBody>
    </xdr:sp>
    <xdr:clientData/>
  </xdr:twoCellAnchor>
  <xdr:twoCellAnchor>
    <xdr:from>
      <xdr:col>30</xdr:col>
      <xdr:colOff>22895</xdr:colOff>
      <xdr:row>32</xdr:row>
      <xdr:rowOff>149138</xdr:rowOff>
    </xdr:from>
    <xdr:to>
      <xdr:col>35</xdr:col>
      <xdr:colOff>14612</xdr:colOff>
      <xdr:row>33</xdr:row>
      <xdr:rowOff>165703</xdr:rowOff>
    </xdr:to>
    <xdr:sp macro="" textlink="GE12">
      <xdr:nvSpPr>
        <xdr:cNvPr id="124" name="TextBox 123">
          <a:extLst>
            <a:ext uri="{FF2B5EF4-FFF2-40B4-BE49-F238E27FC236}">
              <a16:creationId xmlns:a16="http://schemas.microsoft.com/office/drawing/2014/main" id="{14AD6BD0-A69E-CDCD-00FB-44767E1C956E}"/>
            </a:ext>
          </a:extLst>
        </xdr:cNvPr>
        <xdr:cNvSpPr txBox="1"/>
      </xdr:nvSpPr>
      <xdr:spPr>
        <a:xfrm>
          <a:off x="5452145" y="7464338"/>
          <a:ext cx="896592" cy="245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41230AC-AFAF-42D0-8F62-D54742E8FBC1}" type="TxLink">
            <a:rPr lang="en-US" sz="1100" b="0" i="0" u="none" strike="noStrike">
              <a:solidFill>
                <a:srgbClr val="000000"/>
              </a:solidFill>
              <a:latin typeface="Calibri"/>
              <a:ea typeface="Calibri"/>
              <a:cs typeface="Calibri"/>
            </a:rPr>
            <a:pPr/>
            <a:t>ILIM: 250%</a:t>
          </a:fld>
          <a:endParaRPr lang="en-US" sz="1400" b="0" baseline="0"/>
        </a:p>
      </xdr:txBody>
    </xdr:sp>
    <xdr:clientData/>
  </xdr:twoCellAnchor>
  <xdr:twoCellAnchor>
    <xdr:from>
      <xdr:col>1</xdr:col>
      <xdr:colOff>123264</xdr:colOff>
      <xdr:row>13</xdr:row>
      <xdr:rowOff>24847</xdr:rowOff>
    </xdr:from>
    <xdr:to>
      <xdr:col>41</xdr:col>
      <xdr:colOff>145676</xdr:colOff>
      <xdr:row>18</xdr:row>
      <xdr:rowOff>207065</xdr:rowOff>
    </xdr:to>
    <xdr:sp macro="" textlink="">
      <xdr:nvSpPr>
        <xdr:cNvPr id="3" name="TextBox 2">
          <a:extLst>
            <a:ext uri="{FF2B5EF4-FFF2-40B4-BE49-F238E27FC236}">
              <a16:creationId xmlns:a16="http://schemas.microsoft.com/office/drawing/2014/main" id="{1DBB83D9-553B-46FC-B33A-137F0A1E2993}"/>
            </a:ext>
          </a:extLst>
        </xdr:cNvPr>
        <xdr:cNvSpPr txBox="1"/>
      </xdr:nvSpPr>
      <xdr:spPr>
        <a:xfrm>
          <a:off x="302558" y="2938376"/>
          <a:ext cx="7194177" cy="1302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This spreadsheet provides preliminary sizing and performance evaluation of VarStec’s MotorVAR + RVSS solution for large medium-voltage motor starting. It models a simplified utility-to-motor system to evaluate the interaction between MotorVAR reactive support and RVSS current-limit settings. By iterating both MotorVAR MVAR rating and motor current limit, the tool optimizes motor terminal voltage and system voltages while maintaining sufficient current for required starting torque. This analysis extends the MotorVAR-only model by explicitly accounting for RVSS voltage reduction during starting.</a:t>
          </a:r>
          <a:endParaRPr lang="en-US" sz="1100"/>
        </a:p>
      </xdr:txBody>
    </xdr:sp>
    <xdr:clientData/>
  </xdr:twoCellAnchor>
  <xdr:twoCellAnchor editAs="oneCell">
    <xdr:from>
      <xdr:col>1</xdr:col>
      <xdr:colOff>123826</xdr:colOff>
      <xdr:row>2</xdr:row>
      <xdr:rowOff>38100</xdr:rowOff>
    </xdr:from>
    <xdr:to>
      <xdr:col>12</xdr:col>
      <xdr:colOff>76201</xdr:colOff>
      <xdr:row>6</xdr:row>
      <xdr:rowOff>95250</xdr:rowOff>
    </xdr:to>
    <xdr:pic>
      <xdr:nvPicPr>
        <xdr:cNvPr id="4" name="Picture 3">
          <a:extLst>
            <a:ext uri="{FF2B5EF4-FFF2-40B4-BE49-F238E27FC236}">
              <a16:creationId xmlns:a16="http://schemas.microsoft.com/office/drawing/2014/main" id="{90BB355A-CDA4-4F66-AAE0-3EF60F5CF5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5" name="Picture 4">
          <a:extLst>
            <a:ext uri="{FF2B5EF4-FFF2-40B4-BE49-F238E27FC236}">
              <a16:creationId xmlns:a16="http://schemas.microsoft.com/office/drawing/2014/main" id="{14C6D662-634D-4E06-AE13-8EBD09DBD9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6" name="Picture 5">
          <a:extLst>
            <a:ext uri="{FF2B5EF4-FFF2-40B4-BE49-F238E27FC236}">
              <a16:creationId xmlns:a16="http://schemas.microsoft.com/office/drawing/2014/main" id="{02A36648-71E3-49AC-898C-E3560AB2E0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7" name="Picture 6">
          <a:extLst>
            <a:ext uri="{FF2B5EF4-FFF2-40B4-BE49-F238E27FC236}">
              <a16:creationId xmlns:a16="http://schemas.microsoft.com/office/drawing/2014/main" id="{71671E77-88F3-4E83-B20B-3F6FD21018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03956"/>
          <a:ext cx="1638301" cy="819151"/>
        </a:xfrm>
        <a:prstGeom prst="rect">
          <a:avLst/>
        </a:prstGeom>
      </xdr:spPr>
    </xdr:pic>
    <xdr:clientData/>
  </xdr:oneCellAnchor>
  <xdr:oneCellAnchor>
    <xdr:from>
      <xdr:col>32</xdr:col>
      <xdr:colOff>19049</xdr:colOff>
      <xdr:row>99</xdr:row>
      <xdr:rowOff>73956</xdr:rowOff>
    </xdr:from>
    <xdr:ext cx="1638301" cy="819151"/>
    <xdr:pic>
      <xdr:nvPicPr>
        <xdr:cNvPr id="8" name="Picture 7">
          <a:extLst>
            <a:ext uri="{FF2B5EF4-FFF2-40B4-BE49-F238E27FC236}">
              <a16:creationId xmlns:a16="http://schemas.microsoft.com/office/drawing/2014/main" id="{AF92B380-9A99-4BCC-A7B0-2F6365A326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22705356"/>
          <a:ext cx="1638301" cy="819151"/>
        </a:xfrm>
        <a:prstGeom prst="rect">
          <a:avLst/>
        </a:prstGeom>
      </xdr:spPr>
    </xdr:pic>
    <xdr:clientData/>
  </xdr:oneCellAnchor>
  <xdr:oneCellAnchor>
    <xdr:from>
      <xdr:col>74</xdr:col>
      <xdr:colOff>19049</xdr:colOff>
      <xdr:row>99</xdr:row>
      <xdr:rowOff>73956</xdr:rowOff>
    </xdr:from>
    <xdr:ext cx="1638301" cy="819151"/>
    <xdr:pic>
      <xdr:nvPicPr>
        <xdr:cNvPr id="9" name="Picture 8">
          <a:extLst>
            <a:ext uri="{FF2B5EF4-FFF2-40B4-BE49-F238E27FC236}">
              <a16:creationId xmlns:a16="http://schemas.microsoft.com/office/drawing/2014/main" id="{85D8D1F1-E658-4436-B934-7740BD583D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22705356"/>
          <a:ext cx="1638301" cy="819151"/>
        </a:xfrm>
        <a:prstGeom prst="rect">
          <a:avLst/>
        </a:prstGeom>
      </xdr:spPr>
    </xdr:pic>
    <xdr:clientData/>
  </xdr:oneCellAnchor>
  <xdr:oneCellAnchor>
    <xdr:from>
      <xdr:col>32</xdr:col>
      <xdr:colOff>19049</xdr:colOff>
      <xdr:row>148</xdr:row>
      <xdr:rowOff>73956</xdr:rowOff>
    </xdr:from>
    <xdr:ext cx="1638301" cy="819151"/>
    <xdr:pic>
      <xdr:nvPicPr>
        <xdr:cNvPr id="10" name="Picture 9">
          <a:extLst>
            <a:ext uri="{FF2B5EF4-FFF2-40B4-BE49-F238E27FC236}">
              <a16:creationId xmlns:a16="http://schemas.microsoft.com/office/drawing/2014/main" id="{8F8D3E4A-0072-487A-B2AA-4F6A1A61B5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33906756"/>
          <a:ext cx="1638301" cy="819151"/>
        </a:xfrm>
        <a:prstGeom prst="rect">
          <a:avLst/>
        </a:prstGeom>
      </xdr:spPr>
    </xdr:pic>
    <xdr:clientData/>
  </xdr:oneCellAnchor>
  <xdr:oneCellAnchor>
    <xdr:from>
      <xdr:col>74</xdr:col>
      <xdr:colOff>19049</xdr:colOff>
      <xdr:row>148</xdr:row>
      <xdr:rowOff>73956</xdr:rowOff>
    </xdr:from>
    <xdr:ext cx="1638301" cy="819151"/>
    <xdr:pic>
      <xdr:nvPicPr>
        <xdr:cNvPr id="11" name="Picture 10">
          <a:extLst>
            <a:ext uri="{FF2B5EF4-FFF2-40B4-BE49-F238E27FC236}">
              <a16:creationId xmlns:a16="http://schemas.microsoft.com/office/drawing/2014/main" id="{CC0D2F62-6601-4272-B0A7-5179216028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3906756"/>
          <a:ext cx="1638301" cy="819151"/>
        </a:xfrm>
        <a:prstGeom prst="rect">
          <a:avLst/>
        </a:prstGeom>
      </xdr:spPr>
    </xdr:pic>
    <xdr:clientData/>
  </xdr:oneCellAnchor>
  <xdr:twoCellAnchor>
    <xdr:from>
      <xdr:col>2</xdr:col>
      <xdr:colOff>5846</xdr:colOff>
      <xdr:row>65</xdr:row>
      <xdr:rowOff>40022</xdr:rowOff>
    </xdr:from>
    <xdr:to>
      <xdr:col>41</xdr:col>
      <xdr:colOff>11204</xdr:colOff>
      <xdr:row>73</xdr:row>
      <xdr:rowOff>163288</xdr:rowOff>
    </xdr:to>
    <xdr:sp macro="" textlink="DE60">
      <xdr:nvSpPr>
        <xdr:cNvPr id="12" name="TextBox 11">
          <a:extLst>
            <a:ext uri="{FF2B5EF4-FFF2-40B4-BE49-F238E27FC236}">
              <a16:creationId xmlns:a16="http://schemas.microsoft.com/office/drawing/2014/main" id="{255E9156-DA82-497D-B39C-B290CC9A9629}"/>
            </a:ext>
          </a:extLst>
        </xdr:cNvPr>
        <xdr:cNvSpPr txBox="1"/>
      </xdr:nvSpPr>
      <xdr:spPr>
        <a:xfrm>
          <a:off x="359632" y="15075915"/>
          <a:ext cx="6904179" cy="19738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69E0D1C-CD5A-4FF9-AB98-A6997BE0B1AA}" type="TxLink">
            <a:rPr lang="en-US" sz="1100" b="0" i="0" u="none" strike="noStrike">
              <a:solidFill>
                <a:srgbClr val="000000"/>
              </a:solidFill>
              <a:latin typeface="Calibri"/>
              <a:ea typeface="Calibri"/>
              <a:cs typeface="Calibri"/>
            </a:rPr>
            <a:pPr/>
            <a:t>Without MotorVAR or RVSS assistance, the motor draws approximately 1031.1 amps (293% of FLA) during starting. This results in significant voltage drop, with the motor terminal voltage dropping to near 8.09 kV, or 58.6% of rated voltage. Under these conditions, available starting torque drops to approximately 34.3% of rated torque, increasing the risk of stalled or prolonged motor acceleration.
From a system perspective, the voltage at the 34.5 kV PCC drops to near 23.79 kV, or 69% of rated voltage while the 12.47 kV Secondary bus drops to near 8.09 kV or 64.9% of nominal. This corresponds to voltage drops of approximately 31% at the PCC and 35.1% at the secondary bus. Typical performance objectives require motor bus voltage no lower than 90% of nominal and primary voltage near 96%.  When these objectives are not met, alternate starting methods are usually considered.</a:t>
          </a:fld>
          <a:endParaRPr lang="en-US" sz="1100"/>
        </a:p>
      </xdr:txBody>
    </xdr:sp>
    <xdr:clientData/>
  </xdr:twoCellAnchor>
  <xdr:twoCellAnchor>
    <xdr:from>
      <xdr:col>1</xdr:col>
      <xdr:colOff>176372</xdr:colOff>
      <xdr:row>75</xdr:row>
      <xdr:rowOff>24815</xdr:rowOff>
    </xdr:from>
    <xdr:to>
      <xdr:col>41</xdr:col>
      <xdr:colOff>2</xdr:colOff>
      <xdr:row>83</xdr:row>
      <xdr:rowOff>204109</xdr:rowOff>
    </xdr:to>
    <xdr:sp macro="" textlink="DE63">
      <xdr:nvSpPr>
        <xdr:cNvPr id="13" name="TextBox 12">
          <a:extLst>
            <a:ext uri="{FF2B5EF4-FFF2-40B4-BE49-F238E27FC236}">
              <a16:creationId xmlns:a16="http://schemas.microsoft.com/office/drawing/2014/main" id="{73380699-7A82-431C-A40D-D280CD075D96}"/>
            </a:ext>
          </a:extLst>
        </xdr:cNvPr>
        <xdr:cNvSpPr txBox="1"/>
      </xdr:nvSpPr>
      <xdr:spPr>
        <a:xfrm>
          <a:off x="353265" y="17373922"/>
          <a:ext cx="6899344" cy="2029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0017DD14-05CC-4DCE-B4C7-487011F40A24}" type="TxLink">
            <a:rPr lang="en-US" sz="1100" b="0" i="0" u="none" strike="noStrike">
              <a:solidFill>
                <a:srgbClr val="000000"/>
              </a:solidFill>
              <a:latin typeface="Calibri"/>
              <a:ea typeface="Calibri"/>
              <a:cs typeface="Calibri"/>
            </a:rPr>
            <a:pPr marL="0" indent="0"/>
            <a:t>With the MotorVAR system engaged and the RVSS out of service or bypassed, the motor starting performance improves significantly. Motor starting current increases to approximately 1312.3 amps (372.9% of FLA), while motor terminal voltage is maintained near 10.3 kV, or 74.6% of rated voltage. This allows the motor to develop approximately 55.6% of rated torque during starting, resulting in stronger acceleration and improved starting stability. 
System voltage performance is also significantly improved. Voltage at the 34.5kV PCC and the 12.5kV secondary bus are maintained at approximately 84.5% and 82.5% of nominal, respectively. The starting current reflected into the 34.5kV and 12.5kV systems is reduced to approximately 68.5 %FLA, substantially mitigating upstream system disturbances. As the motor transitions into synchronism, the 3 stage MotorVAR system limits the voltage fluctuations to approximately ±5.59% of the nominal voltage at the 12.5kV bus.</a:t>
          </a:fld>
          <a:endParaRPr lang="en-US" sz="1100" b="0" i="0" u="none" strike="noStrike">
            <a:solidFill>
              <a:srgbClr val="000000"/>
            </a:solidFill>
            <a:latin typeface="Calibri"/>
            <a:ea typeface="Calibri"/>
            <a:cs typeface="Calibri"/>
          </a:endParaRPr>
        </a:p>
      </xdr:txBody>
    </xdr:sp>
    <xdr:clientData/>
  </xdr:twoCellAnchor>
  <xdr:twoCellAnchor>
    <xdr:from>
      <xdr:col>44</xdr:col>
      <xdr:colOff>13606</xdr:colOff>
      <xdr:row>56</xdr:row>
      <xdr:rowOff>51994</xdr:rowOff>
    </xdr:from>
    <xdr:to>
      <xdr:col>82</xdr:col>
      <xdr:colOff>168087</xdr:colOff>
      <xdr:row>70</xdr:row>
      <xdr:rowOff>128870</xdr:rowOff>
    </xdr:to>
    <xdr:sp macro="" textlink="">
      <xdr:nvSpPr>
        <xdr:cNvPr id="14" name="TextBox 13">
          <a:extLst>
            <a:ext uri="{FF2B5EF4-FFF2-40B4-BE49-F238E27FC236}">
              <a16:creationId xmlns:a16="http://schemas.microsoft.com/office/drawing/2014/main" id="{3B03261C-2AB3-4EF2-9808-CCEA587EE01E}"/>
            </a:ext>
          </a:extLst>
        </xdr:cNvPr>
        <xdr:cNvSpPr txBox="1"/>
      </xdr:nvSpPr>
      <xdr:spPr>
        <a:xfrm>
          <a:off x="7796892" y="13005994"/>
          <a:ext cx="6876409" cy="3315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MotorVAR delivers fast, localized reactive power exactly where it is needed—at the motor bus—fundamentally improving the way large medium-voltage motors are started. It can be applied independently or coordinated with other starting methods, such as RVSS or reactor-start systems, to extend their effective range and further improve performance. By actively supporting voltage during acceleration, MotorVAR mitigates voltage sag, improves power quality, and preserves starting torque, enabling the use of simple across-the-line starting without compromising system performance or plant reliability.</a:t>
          </a:r>
        </a:p>
        <a:p>
          <a:br>
            <a:rPr lang="en-US"/>
          </a:br>
          <a:r>
            <a:rPr lang="en-US"/>
            <a:t>The MotorVAR system seamlessly coordinates with a wide range of motor-starting solutions. It is a high-speed, switched capacitor bank designed to be transient-free during both energization and de-energization. This approach eliminates the complexity, footprint, and operational burden typically associated with ASD/VFD solutions, synchronous bypass switchgear, E-house requirements, and the extended startup, commissioning, and lifecycle costs that accompany those systems.</a:t>
          </a:r>
          <a:br>
            <a:rPr lang="en-US"/>
          </a:br>
          <a:endParaRPr lang="en-US"/>
        </a:p>
        <a:p>
          <a:r>
            <a:rPr lang="en-US"/>
            <a:t>A single MotorVAR installation can support multiple large motors on the same electrical system, often eliminating the need for dedicated starting equipment at each motor. Shared or cross-tie starting configurations can further improve project economics. The result is a robust, practical motor-starting solution that minimizes system disturbance while significantly reducing project complexity, cost, and risk.</a:t>
          </a:r>
        </a:p>
      </xdr:txBody>
    </xdr:sp>
    <xdr:clientData/>
  </xdr:twoCellAnchor>
  <xdr:twoCellAnchor>
    <xdr:from>
      <xdr:col>2</xdr:col>
      <xdr:colOff>27214</xdr:colOff>
      <xdr:row>56</xdr:row>
      <xdr:rowOff>22411</xdr:rowOff>
    </xdr:from>
    <xdr:to>
      <xdr:col>41</xdr:col>
      <xdr:colOff>8282</xdr:colOff>
      <xdr:row>64</xdr:row>
      <xdr:rowOff>56029</xdr:rowOff>
    </xdr:to>
    <xdr:sp macro="" textlink="DE57">
      <xdr:nvSpPr>
        <xdr:cNvPr id="15" name="TextBox 14">
          <a:extLst>
            <a:ext uri="{FF2B5EF4-FFF2-40B4-BE49-F238E27FC236}">
              <a16:creationId xmlns:a16="http://schemas.microsoft.com/office/drawing/2014/main" id="{62FA6EF2-097C-4BC0-B2B2-7F04B78B4AA1}"/>
            </a:ext>
          </a:extLst>
        </xdr:cNvPr>
        <xdr:cNvSpPr txBox="1"/>
      </xdr:nvSpPr>
      <xdr:spPr>
        <a:xfrm>
          <a:off x="381000" y="12976411"/>
          <a:ext cx="6879889" cy="1884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BBC6D6E-3828-4444-8C0F-5E14EE0C55C1}" type="TxLink">
            <a:rPr lang="en-US" sz="1100" b="0" i="0" u="none" strike="noStrike">
              <a:solidFill>
                <a:srgbClr val="000000"/>
              </a:solidFill>
              <a:latin typeface="Calibri"/>
              <a:ea typeface="Calibri"/>
              <a:cs typeface="Calibri"/>
            </a:rPr>
            <a:pPr/>
            <a:t>This analysis evaluates the starting performance of a 10,000 HP, 13.8 kV motor connected to a utility system with a 34.5 kV point of common coupling (PCC). The utility short-circuit level at the PCC is 1.2 kA (3-phase) with an X/R ratio of 7, supplying the motor through a 40 MVA, 34.5 kV–12.47 kV step-down transformer with 7.5% leakage impedance.
The motor has a full-load current (FLA) of 351.9 amps, a locked-rotor current (LRA) of 500% FLA, and a rated efficiency of 97.4% and power factor of 90%. A 21.2 MVAR, 12.47kV, 3 stage MotorVAR system is applied at the main secondary bus to support motor starting and to reduce system impact. In addition to the MotorVAR, and to further reduce system impacts and to reduce the rating of the MotorVAR system, an RVSS with current limit setting of 250% is also applied to the motor.</a:t>
          </a:fld>
          <a:endParaRPr lang="en-US" sz="1100"/>
        </a:p>
      </xdr:txBody>
    </xdr:sp>
    <xdr:clientData/>
  </xdr:twoCellAnchor>
  <xdr:twoCellAnchor editAs="oneCell">
    <xdr:from>
      <xdr:col>1</xdr:col>
      <xdr:colOff>168087</xdr:colOff>
      <xdr:row>155</xdr:row>
      <xdr:rowOff>91246</xdr:rowOff>
    </xdr:from>
    <xdr:to>
      <xdr:col>29</xdr:col>
      <xdr:colOff>156882</xdr:colOff>
      <xdr:row>175</xdr:row>
      <xdr:rowOff>166729</xdr:rowOff>
    </xdr:to>
    <xdr:pic>
      <xdr:nvPicPr>
        <xdr:cNvPr id="126" name="Picture 125">
          <a:extLst>
            <a:ext uri="{FF2B5EF4-FFF2-40B4-BE49-F238E27FC236}">
              <a16:creationId xmlns:a16="http://schemas.microsoft.com/office/drawing/2014/main" id="{1DD9E21D-E092-D111-A0CF-ECA64AAD5D7D}"/>
            </a:ext>
          </a:extLst>
        </xdr:cNvPr>
        <xdr:cNvPicPr>
          <a:picLocks noChangeAspect="1"/>
        </xdr:cNvPicPr>
      </xdr:nvPicPr>
      <xdr:blipFill>
        <a:blip xmlns:r="http://schemas.openxmlformats.org/officeDocument/2006/relationships" r:embed="rId3"/>
        <a:stretch>
          <a:fillRect/>
        </a:stretch>
      </xdr:blipFill>
      <xdr:spPr>
        <a:xfrm>
          <a:off x="344980" y="35946067"/>
          <a:ext cx="4941795" cy="4701912"/>
        </a:xfrm>
        <a:prstGeom prst="rect">
          <a:avLst/>
        </a:prstGeom>
      </xdr:spPr>
    </xdr:pic>
    <xdr:clientData/>
  </xdr:twoCellAnchor>
  <xdr:twoCellAnchor>
    <xdr:from>
      <xdr:col>43</xdr:col>
      <xdr:colOff>112058</xdr:colOff>
      <xdr:row>107</xdr:row>
      <xdr:rowOff>33618</xdr:rowOff>
    </xdr:from>
    <xdr:to>
      <xdr:col>83</xdr:col>
      <xdr:colOff>56029</xdr:colOff>
      <xdr:row>131</xdr:row>
      <xdr:rowOff>145676</xdr:rowOff>
    </xdr:to>
    <xdr:sp macro="" textlink="">
      <xdr:nvSpPr>
        <xdr:cNvPr id="121" name="TextBox 120">
          <a:extLst>
            <a:ext uri="{FF2B5EF4-FFF2-40B4-BE49-F238E27FC236}">
              <a16:creationId xmlns:a16="http://schemas.microsoft.com/office/drawing/2014/main" id="{A1FCCB97-C36B-467B-BE13-FFD60582E853}"/>
            </a:ext>
          </a:extLst>
        </xdr:cNvPr>
        <xdr:cNvSpPr txBox="1"/>
      </xdr:nvSpPr>
      <xdr:spPr>
        <a:xfrm>
          <a:off x="7821705" y="24014206"/>
          <a:ext cx="7115736" cy="54908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This spreadsheet evaluates the use of a reduced-voltage soft starter (RVSS) to limit motor starting current while maintaining acceptable system voltage. The system is modeled with a finite utility source, upstream impedance, and a shunt capacitor connected at the motor bus to provide reactive voltage support.</a:t>
          </a:r>
        </a:p>
        <a:p>
          <a:endParaRPr lang="en-US"/>
        </a:p>
        <a:p>
          <a:r>
            <a:rPr lang="en-US"/>
            <a:t>The analysis begins by calculating </a:t>
          </a:r>
          <a:r>
            <a:rPr lang="en-US" b="0"/>
            <a:t>the across-the-line (DOL) motor starting condition with the capacitor in service. This establishes the natural system limits, including the bus voltage and motor starting current during DOL operation. The DOL motor current defines the maximum allowable RVSS current setting.</a:t>
          </a:r>
        </a:p>
        <a:p>
          <a:endParaRPr lang="en-US"/>
        </a:p>
        <a:p>
          <a:r>
            <a:rPr lang="en-US"/>
            <a:t>The user then specifies a </a:t>
          </a:r>
          <a:r>
            <a:rPr lang="en-US" b="0"/>
            <a:t>desired motor current limit</a:t>
          </a:r>
          <a:r>
            <a:rPr lang="en-US"/>
            <a:t>, constrained not to exceed the DOL motor current. This value represents the current flowing into the motor through the RVSS, not the total system or utility current.</a:t>
          </a:r>
        </a:p>
        <a:p>
          <a:endParaRPr lang="en-US"/>
        </a:p>
        <a:p>
          <a:r>
            <a:rPr lang="en-US"/>
            <a:t>The RVSS is modeled as a controlled voltage device that reduces the motor terminal voltage by a </a:t>
          </a:r>
          <a:r>
            <a:rPr lang="en-US" b="0"/>
            <a:t>factor k (0 ≤ k ≤ 1). The RVSS does not introduce any phase shift; all voltage and current angles are determined by system, motor, and capacitor impedances. The spreadsheet automatically determines the value of k required to achieve </a:t>
          </a:r>
          <a:r>
            <a:rPr lang="en-US"/>
            <a:t>the selected motor current limit while accounting for the reactive support provided by the capacitor.</a:t>
          </a:r>
        </a:p>
        <a:p>
          <a:endParaRPr lang="en-US"/>
        </a:p>
        <a:p>
          <a:r>
            <a:rPr lang="en-US"/>
            <a:t>Using this value of </a:t>
          </a:r>
          <a:r>
            <a:rPr lang="en-US" b="1"/>
            <a:t>k</a:t>
          </a:r>
          <a:r>
            <a:rPr lang="en-US"/>
            <a:t>, the spreadsheet recalculates:</a:t>
          </a:r>
        </a:p>
        <a:p>
          <a:endParaRPr lang="en-US"/>
        </a:p>
        <a:p>
          <a:pPr lvl="1"/>
          <a:r>
            <a:rPr lang="en-US"/>
            <a:t>● Motor terminal voltage</a:t>
          </a:r>
        </a:p>
        <a:p>
          <a:pPr lvl="1"/>
          <a:r>
            <a:rPr lang="en-US" sz="1100">
              <a:solidFill>
                <a:schemeClr val="dk1"/>
              </a:solidFill>
              <a:effectLst/>
              <a:latin typeface="+mn-lt"/>
              <a:ea typeface="+mn-ea"/>
              <a:cs typeface="+mn-cs"/>
            </a:rPr>
            <a:t>● </a:t>
          </a:r>
          <a:r>
            <a:rPr lang="en-US"/>
            <a:t>Motor current</a:t>
          </a:r>
        </a:p>
        <a:p>
          <a:pPr lvl="1"/>
          <a:r>
            <a:rPr lang="en-US" sz="1100">
              <a:solidFill>
                <a:schemeClr val="dk1"/>
              </a:solidFill>
              <a:effectLst/>
              <a:latin typeface="+mn-lt"/>
              <a:ea typeface="+mn-ea"/>
              <a:cs typeface="+mn-cs"/>
            </a:rPr>
            <a:t>● </a:t>
          </a:r>
          <a:r>
            <a:rPr lang="en-US"/>
            <a:t>Capacitor current</a:t>
          </a:r>
        </a:p>
        <a:p>
          <a:pPr lvl="1"/>
          <a:r>
            <a:rPr lang="en-US" sz="1100">
              <a:solidFill>
                <a:schemeClr val="dk1"/>
              </a:solidFill>
              <a:effectLst/>
              <a:latin typeface="+mn-lt"/>
              <a:ea typeface="+mn-ea"/>
              <a:cs typeface="+mn-cs"/>
            </a:rPr>
            <a:t>● </a:t>
          </a:r>
          <a:r>
            <a:rPr lang="en-US"/>
            <a:t>System (source) current</a:t>
          </a:r>
        </a:p>
        <a:p>
          <a:pPr lvl="1"/>
          <a:r>
            <a:rPr lang="en-US" sz="1100">
              <a:solidFill>
                <a:schemeClr val="dk1"/>
              </a:solidFill>
              <a:effectLst/>
              <a:latin typeface="+mn-lt"/>
              <a:ea typeface="+mn-ea"/>
              <a:cs typeface="+mn-cs"/>
            </a:rPr>
            <a:t>● </a:t>
          </a:r>
          <a:r>
            <a:rPr lang="en-US"/>
            <a:t>Bus voltage during starting</a:t>
          </a:r>
        </a:p>
        <a:p>
          <a:endParaRPr lang="en-US"/>
        </a:p>
        <a:p>
          <a:r>
            <a:rPr lang="en-US"/>
            <a:t>Internal consistency checks ensure that:</a:t>
          </a:r>
        </a:p>
        <a:p>
          <a:pPr lvl="1"/>
          <a:r>
            <a:rPr lang="en-US" sz="1100">
              <a:solidFill>
                <a:schemeClr val="dk1"/>
              </a:solidFill>
              <a:effectLst/>
              <a:latin typeface="+mn-lt"/>
              <a:ea typeface="+mn-ea"/>
              <a:cs typeface="+mn-cs"/>
            </a:rPr>
            <a:t>● </a:t>
          </a:r>
          <a:r>
            <a:rPr lang="en-US"/>
            <a:t>The calculated motor current matches the user-specified current limit</a:t>
          </a:r>
        </a:p>
        <a:p>
          <a:pPr lvl="1"/>
          <a:r>
            <a:rPr lang="en-US" sz="1100">
              <a:solidFill>
                <a:schemeClr val="dk1"/>
              </a:solidFill>
              <a:effectLst/>
              <a:latin typeface="+mn-lt"/>
              <a:ea typeface="+mn-ea"/>
              <a:cs typeface="+mn-cs"/>
            </a:rPr>
            <a:t>● </a:t>
          </a:r>
          <a:r>
            <a:rPr lang="en-US"/>
            <a:t>When the current limit is set equal to the DOL motor current, the solution correctly returns to the DOL condition (k ≈ 1)</a:t>
          </a:r>
        </a:p>
        <a:p>
          <a:endParaRPr lang="en-US"/>
        </a:p>
        <a:p>
          <a:r>
            <a:rPr lang="en-US"/>
            <a:t>This tool is intended </a:t>
          </a:r>
          <a:r>
            <a:rPr lang="en-US" b="0"/>
            <a:t>for preliminary sizing and screening </a:t>
          </a:r>
          <a:r>
            <a:rPr lang="en-US"/>
            <a:t>of RVSS applications with capacitor support. Final designs should be confirmed using detailed motor-starting and transient studies.</a:t>
          </a:r>
        </a:p>
        <a:p>
          <a:endParaRPr lang="en-US" sz="1100"/>
        </a:p>
      </xdr:txBody>
    </xdr:sp>
    <xdr:clientData/>
  </xdr:twoCellAnchor>
  <xdr:twoCellAnchor editAs="oneCell">
    <xdr:from>
      <xdr:col>43</xdr:col>
      <xdr:colOff>149680</xdr:colOff>
      <xdr:row>133</xdr:row>
      <xdr:rowOff>33618</xdr:rowOff>
    </xdr:from>
    <xdr:to>
      <xdr:col>79</xdr:col>
      <xdr:colOff>2643</xdr:colOff>
      <xdr:row>144</xdr:row>
      <xdr:rowOff>170726</xdr:rowOff>
    </xdr:to>
    <xdr:pic>
      <xdr:nvPicPr>
        <xdr:cNvPr id="128" name="Picture 127">
          <a:extLst>
            <a:ext uri="{FF2B5EF4-FFF2-40B4-BE49-F238E27FC236}">
              <a16:creationId xmlns:a16="http://schemas.microsoft.com/office/drawing/2014/main" id="{A6F8ED89-9E9E-4571-8465-53EAE454CACF}"/>
            </a:ext>
          </a:extLst>
        </xdr:cNvPr>
        <xdr:cNvPicPr>
          <a:picLocks noChangeAspect="1"/>
        </xdr:cNvPicPr>
      </xdr:nvPicPr>
      <xdr:blipFill>
        <a:blip xmlns:r="http://schemas.openxmlformats.org/officeDocument/2006/relationships" r:embed="rId4"/>
        <a:stretch>
          <a:fillRect/>
        </a:stretch>
      </xdr:blipFill>
      <xdr:spPr>
        <a:xfrm>
          <a:off x="7756073" y="30799368"/>
          <a:ext cx="6221106" cy="2681644"/>
        </a:xfrm>
        <a:prstGeom prst="rect">
          <a:avLst/>
        </a:prstGeom>
      </xdr:spPr>
    </xdr:pic>
    <xdr:clientData/>
  </xdr:twoCellAnchor>
  <xdr:twoCellAnchor editAs="oneCell">
    <xdr:from>
      <xdr:col>20</xdr:col>
      <xdr:colOff>136070</xdr:colOff>
      <xdr:row>20</xdr:row>
      <xdr:rowOff>188155</xdr:rowOff>
    </xdr:from>
    <xdr:to>
      <xdr:col>39</xdr:col>
      <xdr:colOff>154770</xdr:colOff>
      <xdr:row>44</xdr:row>
      <xdr:rowOff>136075</xdr:rowOff>
    </xdr:to>
    <xdr:pic>
      <xdr:nvPicPr>
        <xdr:cNvPr id="18" name="Graphic 17">
          <a:extLst>
            <a:ext uri="{FF2B5EF4-FFF2-40B4-BE49-F238E27FC236}">
              <a16:creationId xmlns:a16="http://schemas.microsoft.com/office/drawing/2014/main" id="{D64D1700-F846-4E6E-0052-650C6BBBA326}"/>
            </a:ext>
          </a:extLst>
        </xdr:cNvPr>
        <xdr:cNvPicPr>
          <a:picLocks noChangeAspect="1"/>
        </xdr:cNvPicPr>
      </xdr:nvPicPr>
      <xdr:blipFill rotWithShape="1">
        <a:blip xmlns:r="http://schemas.openxmlformats.org/officeDocument/2006/relationships" r:embed="rId5">
          <a:extLst>
            <a:ext uri="{96DAC541-7B7A-43D3-8B79-37D633B846F1}">
              <asvg:svgBlip xmlns:asvg="http://schemas.microsoft.com/office/drawing/2016/SVG/main" r:embed="rId6"/>
            </a:ext>
          </a:extLst>
        </a:blip>
        <a:srcRect l="27590" t="13736" r="20973" b="20696"/>
        <a:stretch>
          <a:fillRect/>
        </a:stretch>
      </xdr:blipFill>
      <xdr:spPr>
        <a:xfrm>
          <a:off x="3755570" y="4760155"/>
          <a:ext cx="3457225" cy="5434320"/>
        </a:xfrm>
        <a:prstGeom prst="rect">
          <a:avLst/>
        </a:prstGeom>
      </xdr:spPr>
    </xdr:pic>
    <xdr:clientData/>
  </xdr:twoCellAnchor>
  <xdr:twoCellAnchor editAs="oneCell">
    <xdr:from>
      <xdr:col>1</xdr:col>
      <xdr:colOff>98529</xdr:colOff>
      <xdr:row>104</xdr:row>
      <xdr:rowOff>136071</xdr:rowOff>
    </xdr:from>
    <xdr:to>
      <xdr:col>27</xdr:col>
      <xdr:colOff>81653</xdr:colOff>
      <xdr:row>137</xdr:row>
      <xdr:rowOff>108857</xdr:rowOff>
    </xdr:to>
    <xdr:pic>
      <xdr:nvPicPr>
        <xdr:cNvPr id="2" name="Graphic 1">
          <a:extLst>
            <a:ext uri="{FF2B5EF4-FFF2-40B4-BE49-F238E27FC236}">
              <a16:creationId xmlns:a16="http://schemas.microsoft.com/office/drawing/2014/main" id="{027796FF-45D0-4E01-9BD0-278764BAFA59}"/>
            </a:ext>
          </a:extLst>
        </xdr:cNvPr>
        <xdr:cNvPicPr>
          <a:picLocks noChangeAspect="1"/>
        </xdr:cNvPicPr>
      </xdr:nvPicPr>
      <xdr:blipFill rotWithShape="1">
        <a:blip xmlns:r="http://schemas.openxmlformats.org/officeDocument/2006/relationships" r:embed="rId7">
          <a:extLst>
            <a:ext uri="{96DAC541-7B7A-43D3-8B79-37D633B846F1}">
              <asvg:svgBlip xmlns:asvg="http://schemas.microsoft.com/office/drawing/2016/SVG/main" r:embed="rId8"/>
            </a:ext>
          </a:extLst>
        </a:blip>
        <a:srcRect l="27590" t="13736" r="20973" b="20696"/>
        <a:stretch>
          <a:fillRect/>
        </a:stretch>
      </xdr:blipFill>
      <xdr:spPr>
        <a:xfrm>
          <a:off x="275422" y="24193500"/>
          <a:ext cx="4582338" cy="7606393"/>
        </a:xfrm>
        <a:prstGeom prst="rect">
          <a:avLst/>
        </a:prstGeom>
      </xdr:spPr>
    </xdr:pic>
    <xdr:clientData/>
  </xdr:twoCellAnchor>
  <xdr:twoCellAnchor>
    <xdr:from>
      <xdr:col>44</xdr:col>
      <xdr:colOff>68035</xdr:colOff>
      <xdr:row>70</xdr:row>
      <xdr:rowOff>100853</xdr:rowOff>
    </xdr:from>
    <xdr:to>
      <xdr:col>82</xdr:col>
      <xdr:colOff>122465</xdr:colOff>
      <xdr:row>91</xdr:row>
      <xdr:rowOff>68037</xdr:rowOff>
    </xdr:to>
    <xdr:graphicFrame macro="">
      <xdr:nvGraphicFramePr>
        <xdr:cNvPr id="120" name="Chart 119">
          <a:extLst>
            <a:ext uri="{FF2B5EF4-FFF2-40B4-BE49-F238E27FC236}">
              <a16:creationId xmlns:a16="http://schemas.microsoft.com/office/drawing/2014/main" id="{20E1B88D-2170-678D-DA8B-4E05AE9DD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20</xdr:col>
      <xdr:colOff>155967</xdr:colOff>
      <xdr:row>112</xdr:row>
      <xdr:rowOff>44869</xdr:rowOff>
    </xdr:from>
    <xdr:to>
      <xdr:col>28</xdr:col>
      <xdr:colOff>62491</xdr:colOff>
      <xdr:row>113</xdr:row>
      <xdr:rowOff>56075</xdr:rowOff>
    </xdr:to>
    <xdr:sp macro="" textlink="BX22">
      <xdr:nvSpPr>
        <xdr:cNvPr id="19" name="TextBox 18">
          <a:extLst>
            <a:ext uri="{FF2B5EF4-FFF2-40B4-BE49-F238E27FC236}">
              <a16:creationId xmlns:a16="http://schemas.microsoft.com/office/drawing/2014/main" id="{1726D8B6-33AC-47BF-AB02-7EE472AC5FA9}"/>
            </a:ext>
          </a:extLst>
        </xdr:cNvPr>
        <xdr:cNvSpPr txBox="1"/>
      </xdr:nvSpPr>
      <xdr:spPr>
        <a:xfrm rot="19260591">
          <a:off x="3741849" y="25146045"/>
          <a:ext cx="1340877" cy="23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DD9B35B-13CA-471D-B68A-203085A4EA4C}" type="TxLink">
            <a:rPr lang="en-US" sz="1100" b="1" i="0" u="none" strike="noStrike">
              <a:solidFill>
                <a:srgbClr val="0070C0"/>
              </a:solidFill>
              <a:latin typeface="Calibri"/>
              <a:ea typeface="Calibri"/>
              <a:cs typeface="Calibri"/>
            </a:rPr>
            <a:pPr/>
            <a:t>103.9%</a:t>
          </a:fld>
          <a:endParaRPr lang="en-US" sz="1100"/>
        </a:p>
      </xdr:txBody>
    </xdr:sp>
    <xdr:clientData/>
  </xdr:twoCellAnchor>
  <xdr:twoCellAnchor>
    <xdr:from>
      <xdr:col>20</xdr:col>
      <xdr:colOff>51205</xdr:colOff>
      <xdr:row>111</xdr:row>
      <xdr:rowOff>112843</xdr:rowOff>
    </xdr:from>
    <xdr:to>
      <xdr:col>28</xdr:col>
      <xdr:colOff>112862</xdr:colOff>
      <xdr:row>112</xdr:row>
      <xdr:rowOff>124050</xdr:rowOff>
    </xdr:to>
    <xdr:sp macro="" textlink="BP22">
      <xdr:nvSpPr>
        <xdr:cNvPr id="20" name="TextBox 19">
          <a:extLst>
            <a:ext uri="{FF2B5EF4-FFF2-40B4-BE49-F238E27FC236}">
              <a16:creationId xmlns:a16="http://schemas.microsoft.com/office/drawing/2014/main" id="{98A77F71-C8B5-46EE-8D21-E76EE79E9513}"/>
            </a:ext>
          </a:extLst>
        </xdr:cNvPr>
        <xdr:cNvSpPr txBox="1"/>
      </xdr:nvSpPr>
      <xdr:spPr>
        <a:xfrm rot="19260591">
          <a:off x="3637087" y="24989902"/>
          <a:ext cx="1496010" cy="235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3E293C8-4374-492C-982E-63C65209C99C}" type="TxLink">
            <a:rPr lang="en-US" sz="1100" b="1" i="0" u="none" strike="noStrike">
              <a:solidFill>
                <a:srgbClr val="0E9ED9"/>
              </a:solidFill>
              <a:latin typeface="Calibri"/>
              <a:ea typeface="Calibri"/>
              <a:cs typeface="Calibri"/>
            </a:rPr>
            <a:pPr/>
            <a:t>84.5%</a:t>
          </a:fld>
          <a:endParaRPr lang="en-US" sz="1100"/>
        </a:p>
      </xdr:txBody>
    </xdr:sp>
    <xdr:clientData/>
  </xdr:twoCellAnchor>
  <xdr:twoCellAnchor>
    <xdr:from>
      <xdr:col>19</xdr:col>
      <xdr:colOff>128878</xdr:colOff>
      <xdr:row>110</xdr:row>
      <xdr:rowOff>173730</xdr:rowOff>
    </xdr:from>
    <xdr:to>
      <xdr:col>29</xdr:col>
      <xdr:colOff>16820</xdr:colOff>
      <xdr:row>111</xdr:row>
      <xdr:rowOff>182214</xdr:rowOff>
    </xdr:to>
    <xdr:sp macro="" textlink="BH22">
      <xdr:nvSpPr>
        <xdr:cNvPr id="22" name="TextBox 21">
          <a:extLst>
            <a:ext uri="{FF2B5EF4-FFF2-40B4-BE49-F238E27FC236}">
              <a16:creationId xmlns:a16="http://schemas.microsoft.com/office/drawing/2014/main" id="{108B5927-1C06-4311-8E18-F8715C98D3AA}"/>
            </a:ext>
          </a:extLst>
        </xdr:cNvPr>
        <xdr:cNvSpPr txBox="1"/>
      </xdr:nvSpPr>
      <xdr:spPr>
        <a:xfrm rot="19260591">
          <a:off x="3535466" y="24826671"/>
          <a:ext cx="1680883"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618DD6D-D5CE-4DD5-BB20-9582A471125D}" type="TxLink">
            <a:rPr lang="en-US" sz="1100" b="1" i="0" u="none" strike="noStrike">
              <a:solidFill>
                <a:srgbClr val="FF0000"/>
              </a:solidFill>
              <a:latin typeface="Calibri"/>
              <a:ea typeface="Calibri"/>
              <a:cs typeface="Calibri"/>
            </a:rPr>
            <a:pPr/>
            <a:t>69.0%</a:t>
          </a:fld>
          <a:endParaRPr lang="en-US" sz="1100"/>
        </a:p>
      </xdr:txBody>
    </xdr:sp>
    <xdr:clientData/>
  </xdr:twoCellAnchor>
  <xdr:twoCellAnchor>
    <xdr:from>
      <xdr:col>26</xdr:col>
      <xdr:colOff>52942</xdr:colOff>
      <xdr:row>118</xdr:row>
      <xdr:rowOff>73875</xdr:rowOff>
    </xdr:from>
    <xdr:to>
      <xdr:col>31</xdr:col>
      <xdr:colOff>67828</xdr:colOff>
      <xdr:row>119</xdr:row>
      <xdr:rowOff>31874</xdr:rowOff>
    </xdr:to>
    <xdr:sp macro="" textlink="BX26">
      <xdr:nvSpPr>
        <xdr:cNvPr id="23" name="TextBox 22">
          <a:extLst>
            <a:ext uri="{FF2B5EF4-FFF2-40B4-BE49-F238E27FC236}">
              <a16:creationId xmlns:a16="http://schemas.microsoft.com/office/drawing/2014/main" id="{2D848402-5844-46E3-A9AB-23F9E5BF7902}"/>
            </a:ext>
          </a:extLst>
        </xdr:cNvPr>
        <xdr:cNvSpPr txBox="1"/>
      </xdr:nvSpPr>
      <xdr:spPr>
        <a:xfrm rot="19260591">
          <a:off x="4652156" y="27369804"/>
          <a:ext cx="899351" cy="189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569B62A-76BD-48A9-A498-0093DC1E910C}" type="TxLink">
            <a:rPr lang="en-US" sz="1100" b="1" i="0" u="none" strike="noStrike">
              <a:solidFill>
                <a:srgbClr val="0070C0"/>
              </a:solidFill>
              <a:latin typeface="Calibri"/>
              <a:ea typeface="Calibri"/>
              <a:cs typeface="Calibri"/>
            </a:rPr>
            <a:pPr/>
            <a:t>104.5%</a:t>
          </a:fld>
          <a:endParaRPr lang="en-US" sz="1100"/>
        </a:p>
      </xdr:txBody>
    </xdr:sp>
    <xdr:clientData/>
  </xdr:twoCellAnchor>
  <xdr:twoCellAnchor>
    <xdr:from>
      <xdr:col>25</xdr:col>
      <xdr:colOff>103974</xdr:colOff>
      <xdr:row>117</xdr:row>
      <xdr:rowOff>52232</xdr:rowOff>
    </xdr:from>
    <xdr:to>
      <xdr:col>32</xdr:col>
      <xdr:colOff>162768</xdr:colOff>
      <xdr:row>118</xdr:row>
      <xdr:rowOff>22253</xdr:rowOff>
    </xdr:to>
    <xdr:sp macro="" textlink="BP26">
      <xdr:nvSpPr>
        <xdr:cNvPr id="24" name="TextBox 23">
          <a:extLst>
            <a:ext uri="{FF2B5EF4-FFF2-40B4-BE49-F238E27FC236}">
              <a16:creationId xmlns:a16="http://schemas.microsoft.com/office/drawing/2014/main" id="{29F7B083-3FBE-4F27-B388-D57AFA443BEE}"/>
            </a:ext>
          </a:extLst>
        </xdr:cNvPr>
        <xdr:cNvSpPr txBox="1"/>
      </xdr:nvSpPr>
      <xdr:spPr>
        <a:xfrm rot="19260591">
          <a:off x="4526295" y="27116839"/>
          <a:ext cx="1297044" cy="201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D70665C-0B3F-4359-AE6E-32E9FCD7F0F2}" type="TxLink">
            <a:rPr lang="en-US" sz="1100" b="1" i="0" u="none" strike="noStrike">
              <a:solidFill>
                <a:srgbClr val="0E9ED9"/>
              </a:solidFill>
              <a:latin typeface="Calibri"/>
              <a:ea typeface="Calibri"/>
              <a:cs typeface="Calibri"/>
            </a:rPr>
            <a:pPr/>
            <a:t>82.5%</a:t>
          </a:fld>
          <a:endParaRPr lang="en-US" sz="1100"/>
        </a:p>
      </xdr:txBody>
    </xdr:sp>
    <xdr:clientData/>
  </xdr:twoCellAnchor>
  <xdr:twoCellAnchor>
    <xdr:from>
      <xdr:col>24</xdr:col>
      <xdr:colOff>152171</xdr:colOff>
      <xdr:row>116</xdr:row>
      <xdr:rowOff>49267</xdr:rowOff>
    </xdr:from>
    <xdr:to>
      <xdr:col>34</xdr:col>
      <xdr:colOff>40114</xdr:colOff>
      <xdr:row>117</xdr:row>
      <xdr:rowOff>57752</xdr:rowOff>
    </xdr:to>
    <xdr:sp macro="" textlink="BH26">
      <xdr:nvSpPr>
        <xdr:cNvPr id="25" name="TextBox 24">
          <a:extLst>
            <a:ext uri="{FF2B5EF4-FFF2-40B4-BE49-F238E27FC236}">
              <a16:creationId xmlns:a16="http://schemas.microsoft.com/office/drawing/2014/main" id="{AA430F53-7216-4BB6-AB70-25E8EF89CA44}"/>
            </a:ext>
          </a:extLst>
        </xdr:cNvPr>
        <xdr:cNvSpPr txBox="1"/>
      </xdr:nvSpPr>
      <xdr:spPr>
        <a:xfrm rot="19260591">
          <a:off x="4397600" y="26882553"/>
          <a:ext cx="1656871"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45C2D88-E46C-4BC6-B51B-05FEC04D6B13}" type="TxLink">
            <a:rPr lang="en-US" sz="1100" b="1" i="0" u="none" strike="noStrike">
              <a:solidFill>
                <a:srgbClr val="FF0000"/>
              </a:solidFill>
              <a:latin typeface="Calibri"/>
              <a:ea typeface="Calibri"/>
              <a:cs typeface="Calibri"/>
            </a:rPr>
            <a:pPr/>
            <a:t>64.9%</a:t>
          </a:fld>
          <a:endParaRPr lang="en-US" sz="1100"/>
        </a:p>
      </xdr:txBody>
    </xdr:sp>
    <xdr:clientData/>
  </xdr:twoCellAnchor>
  <xdr:twoCellAnchor>
    <xdr:from>
      <xdr:col>22</xdr:col>
      <xdr:colOff>177961</xdr:colOff>
      <xdr:row>116</xdr:row>
      <xdr:rowOff>143041</xdr:rowOff>
    </xdr:from>
    <xdr:to>
      <xdr:col>29</xdr:col>
      <xdr:colOff>63725</xdr:colOff>
      <xdr:row>118</xdr:row>
      <xdr:rowOff>146995</xdr:rowOff>
    </xdr:to>
    <xdr:sp macro="" textlink="">
      <xdr:nvSpPr>
        <xdr:cNvPr id="28" name="TextBox 27">
          <a:extLst>
            <a:ext uri="{FF2B5EF4-FFF2-40B4-BE49-F238E27FC236}">
              <a16:creationId xmlns:a16="http://schemas.microsoft.com/office/drawing/2014/main" id="{F02DE052-ED5F-492C-B8F0-8ABCF9532F9E}"/>
            </a:ext>
          </a:extLst>
        </xdr:cNvPr>
        <xdr:cNvSpPr txBox="1"/>
      </xdr:nvSpPr>
      <xdr:spPr>
        <a:xfrm rot="19229337">
          <a:off x="4122432" y="26140688"/>
          <a:ext cx="1140822" cy="452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Voltage During Start</a:t>
          </a:r>
        </a:p>
        <a:p>
          <a:pPr algn="ctr"/>
          <a:endParaRPr lang="en-US" sz="1100"/>
        </a:p>
      </xdr:txBody>
    </xdr:sp>
    <xdr:clientData/>
  </xdr:twoCellAnchor>
  <xdr:twoCellAnchor>
    <xdr:from>
      <xdr:col>18</xdr:col>
      <xdr:colOff>48258</xdr:colOff>
      <xdr:row>111</xdr:row>
      <xdr:rowOff>11186</xdr:rowOff>
    </xdr:from>
    <xdr:to>
      <xdr:col>24</xdr:col>
      <xdr:colOff>23806</xdr:colOff>
      <xdr:row>113</xdr:row>
      <xdr:rowOff>169488</xdr:rowOff>
    </xdr:to>
    <xdr:sp macro="" textlink="">
      <xdr:nvSpPr>
        <xdr:cNvPr id="29" name="TextBox 28">
          <a:extLst>
            <a:ext uri="{FF2B5EF4-FFF2-40B4-BE49-F238E27FC236}">
              <a16:creationId xmlns:a16="http://schemas.microsoft.com/office/drawing/2014/main" id="{72909540-BB6F-4806-AE8F-4A38A6057CEB}"/>
            </a:ext>
          </a:extLst>
        </xdr:cNvPr>
        <xdr:cNvSpPr txBox="1"/>
      </xdr:nvSpPr>
      <xdr:spPr>
        <a:xfrm rot="19229337">
          <a:off x="3275552" y="24888245"/>
          <a:ext cx="1051313" cy="606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Voltage During Start</a:t>
          </a:r>
        </a:p>
        <a:p>
          <a:pPr algn="ctr"/>
          <a:endParaRPr lang="en-US" sz="1100"/>
        </a:p>
      </xdr:txBody>
    </xdr:sp>
    <xdr:clientData/>
  </xdr:twoCellAnchor>
  <xdr:twoCellAnchor>
    <xdr:from>
      <xdr:col>9</xdr:col>
      <xdr:colOff>37318</xdr:colOff>
      <xdr:row>105</xdr:row>
      <xdr:rowOff>54429</xdr:rowOff>
    </xdr:from>
    <xdr:to>
      <xdr:col>10</xdr:col>
      <xdr:colOff>93428</xdr:colOff>
      <xdr:row>112</xdr:row>
      <xdr:rowOff>147839</xdr:rowOff>
    </xdr:to>
    <xdr:sp macro="" textlink="BH32">
      <xdr:nvSpPr>
        <xdr:cNvPr id="30" name="TextBox 29">
          <a:extLst>
            <a:ext uri="{FF2B5EF4-FFF2-40B4-BE49-F238E27FC236}">
              <a16:creationId xmlns:a16="http://schemas.microsoft.com/office/drawing/2014/main" id="{CA6C02F0-1B44-4B7F-A868-D073073AD9C2}"/>
            </a:ext>
          </a:extLst>
        </xdr:cNvPr>
        <xdr:cNvSpPr txBox="1"/>
      </xdr:nvSpPr>
      <xdr:spPr>
        <a:xfrm rot="16200000">
          <a:off x="889526" y="25083007"/>
          <a:ext cx="1712660" cy="2330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048BEDB-B927-48E0-BCBD-9B331E308707}" type="TxLink">
            <a:rPr lang="en-US" sz="1100" b="1" i="0" u="none" strike="noStrike">
              <a:solidFill>
                <a:srgbClr val="FF0000"/>
              </a:solidFill>
              <a:latin typeface="Calibri"/>
              <a:ea typeface="Calibri"/>
              <a:cs typeface="Calibri"/>
            </a:rPr>
            <a:pPr/>
            <a:t>293.0%</a:t>
          </a:fld>
          <a:endParaRPr lang="en-US" sz="1100"/>
        </a:p>
      </xdr:txBody>
    </xdr:sp>
    <xdr:clientData/>
  </xdr:twoCellAnchor>
  <xdr:twoCellAnchor>
    <xdr:from>
      <xdr:col>10</xdr:col>
      <xdr:colOff>124166</xdr:colOff>
      <xdr:row>106</xdr:row>
      <xdr:rowOff>166450</xdr:rowOff>
    </xdr:from>
    <xdr:to>
      <xdr:col>12</xdr:col>
      <xdr:colOff>2022</xdr:colOff>
      <xdr:row>112</xdr:row>
      <xdr:rowOff>151575</xdr:rowOff>
    </xdr:to>
    <xdr:sp macro="" textlink="BX32">
      <xdr:nvSpPr>
        <xdr:cNvPr id="31" name="TextBox 30">
          <a:extLst>
            <a:ext uri="{FF2B5EF4-FFF2-40B4-BE49-F238E27FC236}">
              <a16:creationId xmlns:a16="http://schemas.microsoft.com/office/drawing/2014/main" id="{8F4CA8E4-E504-43B6-8497-268AE6ABF184}"/>
            </a:ext>
          </a:extLst>
        </xdr:cNvPr>
        <xdr:cNvSpPr txBox="1"/>
      </xdr:nvSpPr>
      <xdr:spPr>
        <a:xfrm rot="16200000">
          <a:off x="1322389" y="25257227"/>
          <a:ext cx="1373054" cy="231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7103AD1-C197-4EBF-B864-58188F454110}" type="TxLink">
            <a:rPr lang="en-US" sz="1100" b="1" i="0" u="none" strike="noStrike">
              <a:solidFill>
                <a:srgbClr val="0070C0"/>
              </a:solidFill>
              <a:latin typeface="Calibri"/>
              <a:ea typeface="Calibri"/>
              <a:cs typeface="Calibri"/>
            </a:rPr>
            <a:pPr/>
            <a:t>68.5%</a:t>
          </a:fld>
          <a:endParaRPr lang="en-US" sz="1100"/>
        </a:p>
      </xdr:txBody>
    </xdr:sp>
    <xdr:clientData/>
  </xdr:twoCellAnchor>
  <xdr:twoCellAnchor>
    <xdr:from>
      <xdr:col>9</xdr:col>
      <xdr:colOff>164845</xdr:colOff>
      <xdr:row>106</xdr:row>
      <xdr:rowOff>13494</xdr:rowOff>
    </xdr:from>
    <xdr:to>
      <xdr:col>11</xdr:col>
      <xdr:colOff>42701</xdr:colOff>
      <xdr:row>112</xdr:row>
      <xdr:rowOff>151351</xdr:rowOff>
    </xdr:to>
    <xdr:sp macro="" textlink="BP32">
      <xdr:nvSpPr>
        <xdr:cNvPr id="32" name="TextBox 31">
          <a:extLst>
            <a:ext uri="{FF2B5EF4-FFF2-40B4-BE49-F238E27FC236}">
              <a16:creationId xmlns:a16="http://schemas.microsoft.com/office/drawing/2014/main" id="{6C656F4D-3E17-437E-9112-532B8035CE48}"/>
            </a:ext>
          </a:extLst>
        </xdr:cNvPr>
        <xdr:cNvSpPr txBox="1"/>
      </xdr:nvSpPr>
      <xdr:spPr>
        <a:xfrm rot="16200000">
          <a:off x="1109809" y="25180637"/>
          <a:ext cx="1525786" cy="231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704E0B1-784F-4B5E-B88C-7FCF7FB6A1B4}" type="TxLink">
            <a:rPr lang="en-US" sz="1100" b="1" i="0" u="none" strike="noStrike">
              <a:solidFill>
                <a:srgbClr val="0E9ED9"/>
              </a:solidFill>
              <a:latin typeface="Calibri"/>
              <a:ea typeface="Calibri"/>
              <a:cs typeface="Calibri"/>
            </a:rPr>
            <a:pPr/>
            <a:t>154.1%</a:t>
          </a:fld>
          <a:endParaRPr lang="en-US" sz="1100"/>
        </a:p>
      </xdr:txBody>
    </xdr:sp>
    <xdr:clientData/>
  </xdr:twoCellAnchor>
  <xdr:twoCellAnchor>
    <xdr:from>
      <xdr:col>7</xdr:col>
      <xdr:colOff>44344</xdr:colOff>
      <xdr:row>108</xdr:row>
      <xdr:rowOff>110839</xdr:rowOff>
    </xdr:from>
    <xdr:to>
      <xdr:col>9</xdr:col>
      <xdr:colOff>173612</xdr:colOff>
      <xdr:row>113</xdr:row>
      <xdr:rowOff>204048</xdr:rowOff>
    </xdr:to>
    <xdr:sp macro="" textlink="">
      <xdr:nvSpPr>
        <xdr:cNvPr id="33" name="TextBox 32">
          <a:extLst>
            <a:ext uri="{FF2B5EF4-FFF2-40B4-BE49-F238E27FC236}">
              <a16:creationId xmlns:a16="http://schemas.microsoft.com/office/drawing/2014/main" id="{C13C57AA-7C46-4FEC-BDB5-CF65CB318EAE}"/>
            </a:ext>
          </a:extLst>
        </xdr:cNvPr>
        <xdr:cNvSpPr txBox="1"/>
      </xdr:nvSpPr>
      <xdr:spPr>
        <a:xfrm rot="16200000">
          <a:off x="899213" y="25476934"/>
          <a:ext cx="1249816" cy="483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Current During</a:t>
          </a:r>
          <a:br>
            <a:rPr lang="en-US" sz="1100"/>
          </a:br>
          <a:r>
            <a:rPr lang="en-US" sz="1100"/>
            <a:t>Start (%FLA)</a:t>
          </a:r>
        </a:p>
        <a:p>
          <a:endParaRPr lang="en-US" sz="1100"/>
        </a:p>
      </xdr:txBody>
    </xdr:sp>
    <xdr:clientData/>
  </xdr:twoCellAnchor>
  <xdr:twoCellAnchor>
    <xdr:from>
      <xdr:col>11</xdr:col>
      <xdr:colOff>161697</xdr:colOff>
      <xdr:row>109</xdr:row>
      <xdr:rowOff>100974</xdr:rowOff>
    </xdr:from>
    <xdr:to>
      <xdr:col>11</xdr:col>
      <xdr:colOff>171222</xdr:colOff>
      <xdr:row>113</xdr:row>
      <xdr:rowOff>53350</xdr:rowOff>
    </xdr:to>
    <xdr:cxnSp macro="">
      <xdr:nvCxnSpPr>
        <xdr:cNvPr id="34" name="Straight Arrow Connector 33">
          <a:extLst>
            <a:ext uri="{FF2B5EF4-FFF2-40B4-BE49-F238E27FC236}">
              <a16:creationId xmlns:a16="http://schemas.microsoft.com/office/drawing/2014/main" id="{BBFEF295-B577-488A-B71F-F68D2E49D63F}"/>
            </a:ext>
          </a:extLst>
        </xdr:cNvPr>
        <xdr:cNvCxnSpPr/>
      </xdr:nvCxnSpPr>
      <xdr:spPr>
        <a:xfrm flipH="1">
          <a:off x="2107518" y="25315010"/>
          <a:ext cx="9525" cy="877661"/>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172581</xdr:colOff>
      <xdr:row>105</xdr:row>
      <xdr:rowOff>205747</xdr:rowOff>
    </xdr:from>
    <xdr:to>
      <xdr:col>15</xdr:col>
      <xdr:colOff>144007</xdr:colOff>
      <xdr:row>106</xdr:row>
      <xdr:rowOff>196223</xdr:rowOff>
    </xdr:to>
    <xdr:sp macro="" textlink="">
      <xdr:nvSpPr>
        <xdr:cNvPr id="39" name="TextBox 38">
          <a:extLst>
            <a:ext uri="{FF2B5EF4-FFF2-40B4-BE49-F238E27FC236}">
              <a16:creationId xmlns:a16="http://schemas.microsoft.com/office/drawing/2014/main" id="{9B80A194-975C-416B-85DA-BD30EB087752}"/>
            </a:ext>
          </a:extLst>
        </xdr:cNvPr>
        <xdr:cNvSpPr txBox="1"/>
      </xdr:nvSpPr>
      <xdr:spPr>
        <a:xfrm>
          <a:off x="1982331" y="24208747"/>
          <a:ext cx="876301"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Source</a:t>
          </a:r>
          <a:endParaRPr lang="en-US" sz="1600" b="1"/>
        </a:p>
      </xdr:txBody>
    </xdr:sp>
    <xdr:clientData/>
  </xdr:twoCellAnchor>
  <xdr:twoCellAnchor>
    <xdr:from>
      <xdr:col>19</xdr:col>
      <xdr:colOff>13620</xdr:colOff>
      <xdr:row>128</xdr:row>
      <xdr:rowOff>27213</xdr:rowOff>
    </xdr:from>
    <xdr:to>
      <xdr:col>22</xdr:col>
      <xdr:colOff>133362</xdr:colOff>
      <xdr:row>129</xdr:row>
      <xdr:rowOff>74839</xdr:rowOff>
    </xdr:to>
    <xdr:sp macro="" textlink="">
      <xdr:nvSpPr>
        <xdr:cNvPr id="53" name="TextBox 52">
          <a:extLst>
            <a:ext uri="{FF2B5EF4-FFF2-40B4-BE49-F238E27FC236}">
              <a16:creationId xmlns:a16="http://schemas.microsoft.com/office/drawing/2014/main" id="{668E6E45-8C5F-46A7-B34A-6346F6A67B04}"/>
            </a:ext>
          </a:extLst>
        </xdr:cNvPr>
        <xdr:cNvSpPr txBox="1"/>
      </xdr:nvSpPr>
      <xdr:spPr>
        <a:xfrm>
          <a:off x="3374584" y="29636356"/>
          <a:ext cx="650421" cy="278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Motor</a:t>
          </a:r>
        </a:p>
      </xdr:txBody>
    </xdr:sp>
    <xdr:clientData/>
  </xdr:twoCellAnchor>
  <xdr:twoCellAnchor>
    <xdr:from>
      <xdr:col>25</xdr:col>
      <xdr:colOff>137278</xdr:colOff>
      <xdr:row>121</xdr:row>
      <xdr:rowOff>148077</xdr:rowOff>
    </xdr:from>
    <xdr:to>
      <xdr:col>33</xdr:col>
      <xdr:colOff>89653</xdr:colOff>
      <xdr:row>124</xdr:row>
      <xdr:rowOff>159</xdr:rowOff>
    </xdr:to>
    <xdr:sp macro="" textlink="">
      <xdr:nvSpPr>
        <xdr:cNvPr id="54" name="TextBox 53">
          <a:extLst>
            <a:ext uri="{FF2B5EF4-FFF2-40B4-BE49-F238E27FC236}">
              <a16:creationId xmlns:a16="http://schemas.microsoft.com/office/drawing/2014/main" id="{65ED1C24-F936-4272-9BAB-BA1C9D6997C8}"/>
            </a:ext>
          </a:extLst>
        </xdr:cNvPr>
        <xdr:cNvSpPr txBox="1"/>
      </xdr:nvSpPr>
      <xdr:spPr>
        <a:xfrm>
          <a:off x="4619631" y="27266312"/>
          <a:ext cx="1386728" cy="524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 Torque</a:t>
          </a:r>
          <a:br>
            <a:rPr lang="en-US" sz="1100"/>
          </a:br>
          <a:r>
            <a:rPr lang="en-US" sz="1100"/>
            <a:t>During Start</a:t>
          </a:r>
        </a:p>
      </xdr:txBody>
    </xdr:sp>
    <xdr:clientData/>
  </xdr:twoCellAnchor>
  <xdr:twoCellAnchor>
    <xdr:from>
      <xdr:col>33</xdr:col>
      <xdr:colOff>112057</xdr:colOff>
      <xdr:row>121</xdr:row>
      <xdr:rowOff>112059</xdr:rowOff>
    </xdr:from>
    <xdr:to>
      <xdr:col>39</xdr:col>
      <xdr:colOff>156882</xdr:colOff>
      <xdr:row>122</xdr:row>
      <xdr:rowOff>183937</xdr:rowOff>
    </xdr:to>
    <xdr:sp macro="" textlink="">
      <xdr:nvSpPr>
        <xdr:cNvPr id="55" name="TextBox 54">
          <a:extLst>
            <a:ext uri="{FF2B5EF4-FFF2-40B4-BE49-F238E27FC236}">
              <a16:creationId xmlns:a16="http://schemas.microsoft.com/office/drawing/2014/main" id="{FC7B87D7-404A-4FDC-8102-C985D9FEDE0C}"/>
            </a:ext>
          </a:extLst>
        </xdr:cNvPr>
        <xdr:cNvSpPr txBox="1"/>
      </xdr:nvSpPr>
      <xdr:spPr>
        <a:xfrm>
          <a:off x="6028763" y="27230294"/>
          <a:ext cx="1120590" cy="2959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Starting Current</a:t>
          </a:r>
        </a:p>
      </xdr:txBody>
    </xdr:sp>
    <xdr:clientData/>
  </xdr:twoCellAnchor>
  <xdr:twoCellAnchor>
    <xdr:from>
      <xdr:col>27</xdr:col>
      <xdr:colOff>22412</xdr:colOff>
      <xdr:row>123</xdr:row>
      <xdr:rowOff>112056</xdr:rowOff>
    </xdr:from>
    <xdr:to>
      <xdr:col>31</xdr:col>
      <xdr:colOff>123265</xdr:colOff>
      <xdr:row>123</xdr:row>
      <xdr:rowOff>112056</xdr:rowOff>
    </xdr:to>
    <xdr:cxnSp macro="">
      <xdr:nvCxnSpPr>
        <xdr:cNvPr id="58" name="Straight Connector 57">
          <a:extLst>
            <a:ext uri="{FF2B5EF4-FFF2-40B4-BE49-F238E27FC236}">
              <a16:creationId xmlns:a16="http://schemas.microsoft.com/office/drawing/2014/main" id="{045E53F9-3482-4A12-BFC4-B948E5D1E21D}"/>
            </a:ext>
          </a:extLst>
        </xdr:cNvPr>
        <xdr:cNvCxnSpPr/>
      </xdr:nvCxnSpPr>
      <xdr:spPr>
        <a:xfrm>
          <a:off x="4863353" y="27678527"/>
          <a:ext cx="81803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67235</xdr:colOff>
      <xdr:row>123</xdr:row>
      <xdr:rowOff>115820</xdr:rowOff>
    </xdr:from>
    <xdr:to>
      <xdr:col>36</xdr:col>
      <xdr:colOff>122470</xdr:colOff>
      <xdr:row>123</xdr:row>
      <xdr:rowOff>115820</xdr:rowOff>
    </xdr:to>
    <xdr:cxnSp macro="">
      <xdr:nvCxnSpPr>
        <xdr:cNvPr id="59" name="Straight Connector 58">
          <a:extLst>
            <a:ext uri="{FF2B5EF4-FFF2-40B4-BE49-F238E27FC236}">
              <a16:creationId xmlns:a16="http://schemas.microsoft.com/office/drawing/2014/main" id="{FE2180E7-76AC-4983-B222-F139BB6C7668}"/>
            </a:ext>
          </a:extLst>
        </xdr:cNvPr>
        <xdr:cNvCxnSpPr/>
      </xdr:nvCxnSpPr>
      <xdr:spPr>
        <a:xfrm>
          <a:off x="5804647" y="27682291"/>
          <a:ext cx="7724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40033</xdr:colOff>
      <xdr:row>120</xdr:row>
      <xdr:rowOff>115060</xdr:rowOff>
    </xdr:from>
    <xdr:to>
      <xdr:col>9</xdr:col>
      <xdr:colOff>178506</xdr:colOff>
      <xdr:row>125</xdr:row>
      <xdr:rowOff>191939</xdr:rowOff>
    </xdr:to>
    <xdr:sp macro="" textlink="">
      <xdr:nvSpPr>
        <xdr:cNvPr id="35" name="TextBox 34">
          <a:extLst>
            <a:ext uri="{FF2B5EF4-FFF2-40B4-BE49-F238E27FC236}">
              <a16:creationId xmlns:a16="http://schemas.microsoft.com/office/drawing/2014/main" id="{45D88CD6-57E3-48AA-A686-AD8C7882FE4E}"/>
            </a:ext>
          </a:extLst>
        </xdr:cNvPr>
        <xdr:cNvSpPr txBox="1"/>
      </xdr:nvSpPr>
      <xdr:spPr>
        <a:xfrm rot="16200000">
          <a:off x="855242" y="27269734"/>
          <a:ext cx="1197467" cy="676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Current Assist from MotorVAR</a:t>
          </a:r>
          <a:r>
            <a:rPr lang="en-US" sz="1100" baseline="0"/>
            <a:t> (amps)</a:t>
          </a:r>
          <a:endParaRPr lang="en-US" sz="1100"/>
        </a:p>
      </xdr:txBody>
    </xdr:sp>
    <xdr:clientData/>
  </xdr:twoCellAnchor>
  <xdr:twoCellAnchor>
    <xdr:from>
      <xdr:col>9</xdr:col>
      <xdr:colOff>27215</xdr:colOff>
      <xdr:row>117</xdr:row>
      <xdr:rowOff>13607</xdr:rowOff>
    </xdr:from>
    <xdr:to>
      <xdr:col>10</xdr:col>
      <xdr:colOff>87407</xdr:colOff>
      <xdr:row>124</xdr:row>
      <xdr:rowOff>87967</xdr:rowOff>
    </xdr:to>
    <xdr:sp macro="" textlink="EK33">
      <xdr:nvSpPr>
        <xdr:cNvPr id="44" name="TextBox 43">
          <a:extLst>
            <a:ext uri="{FF2B5EF4-FFF2-40B4-BE49-F238E27FC236}">
              <a16:creationId xmlns:a16="http://schemas.microsoft.com/office/drawing/2014/main" id="{689CB84B-D3BF-4C49-9B71-D85F4EF06813}"/>
            </a:ext>
          </a:extLst>
        </xdr:cNvPr>
        <xdr:cNvSpPr txBox="1"/>
      </xdr:nvSpPr>
      <xdr:spPr>
        <a:xfrm rot="16200000">
          <a:off x="890989" y="27806476"/>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0C52752-4292-4097-B6F5-6F1B4D14618A}" type="TxLink">
            <a:rPr lang="en-US" sz="1100" b="0" i="0" u="none" strike="noStrike">
              <a:solidFill>
                <a:srgbClr val="FF0000"/>
              </a:solidFill>
              <a:latin typeface="Calibri"/>
              <a:ea typeface="Calibri"/>
              <a:cs typeface="Calibri"/>
            </a:rPr>
            <a:pPr/>
            <a:t>0.00</a:t>
          </a:fld>
          <a:endParaRPr lang="en-US" sz="1100">
            <a:solidFill>
              <a:srgbClr val="FF0000"/>
            </a:solidFill>
          </a:endParaRPr>
        </a:p>
      </xdr:txBody>
    </xdr:sp>
    <xdr:clientData/>
  </xdr:twoCellAnchor>
  <xdr:twoCellAnchor>
    <xdr:from>
      <xdr:col>10</xdr:col>
      <xdr:colOff>118145</xdr:colOff>
      <xdr:row>118</xdr:row>
      <xdr:rowOff>122906</xdr:rowOff>
    </xdr:from>
    <xdr:to>
      <xdr:col>12</xdr:col>
      <xdr:colOff>4166</xdr:colOff>
      <xdr:row>124</xdr:row>
      <xdr:rowOff>91703</xdr:rowOff>
    </xdr:to>
    <xdr:sp macro="" textlink="EK35">
      <xdr:nvSpPr>
        <xdr:cNvPr id="45" name="TextBox 44">
          <a:extLst>
            <a:ext uri="{FF2B5EF4-FFF2-40B4-BE49-F238E27FC236}">
              <a16:creationId xmlns:a16="http://schemas.microsoft.com/office/drawing/2014/main" id="{C8172289-9FFA-4977-B022-98231C9F832D}"/>
            </a:ext>
          </a:extLst>
        </xdr:cNvPr>
        <xdr:cNvSpPr txBox="1"/>
      </xdr:nvSpPr>
      <xdr:spPr>
        <a:xfrm rot="16200000">
          <a:off x="1328614" y="27977295"/>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C86DD89-1279-414B-9567-9B53257C388E}" type="TxLink">
            <a:rPr lang="en-US" sz="1100" b="1" i="0" u="none" strike="noStrike">
              <a:solidFill>
                <a:srgbClr val="0070C0"/>
              </a:solidFill>
              <a:latin typeface="Calibri"/>
              <a:ea typeface="Calibri"/>
              <a:cs typeface="Calibri"/>
            </a:rPr>
            <a:pPr/>
            <a:t>1027</a:t>
          </a:fld>
          <a:endParaRPr lang="en-US" sz="1100" b="1">
            <a:solidFill>
              <a:srgbClr val="0070C0"/>
            </a:solidFill>
          </a:endParaRPr>
        </a:p>
      </xdr:txBody>
    </xdr:sp>
    <xdr:clientData/>
  </xdr:twoCellAnchor>
  <xdr:twoCellAnchor>
    <xdr:from>
      <xdr:col>9</xdr:col>
      <xdr:colOff>154742</xdr:colOff>
      <xdr:row>117</xdr:row>
      <xdr:rowOff>201272</xdr:rowOff>
    </xdr:from>
    <xdr:to>
      <xdr:col>11</xdr:col>
      <xdr:colOff>40763</xdr:colOff>
      <xdr:row>124</xdr:row>
      <xdr:rowOff>91479</xdr:rowOff>
    </xdr:to>
    <xdr:sp macro="" textlink="EK34">
      <xdr:nvSpPr>
        <xdr:cNvPr id="46" name="TextBox 45">
          <a:extLst>
            <a:ext uri="{FF2B5EF4-FFF2-40B4-BE49-F238E27FC236}">
              <a16:creationId xmlns:a16="http://schemas.microsoft.com/office/drawing/2014/main" id="{2A1205FB-0538-4E21-AAAB-7D825C510A28}"/>
            </a:ext>
          </a:extLst>
        </xdr:cNvPr>
        <xdr:cNvSpPr txBox="1"/>
      </xdr:nvSpPr>
      <xdr:spPr>
        <a:xfrm rot="16200000">
          <a:off x="1111952" y="27900705"/>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8267EB5-C571-42EA-8BE8-1C45E0227FCF}" type="TxLink">
            <a:rPr lang="en-US" sz="1100" b="1" i="0" u="none" strike="noStrike">
              <a:solidFill>
                <a:srgbClr val="00B0F0"/>
              </a:solidFill>
              <a:latin typeface="Calibri"/>
              <a:ea typeface="Calibri"/>
              <a:cs typeface="Calibri"/>
            </a:rPr>
            <a:pPr/>
            <a:t>811</a:t>
          </a:fld>
          <a:endParaRPr lang="en-US" sz="1100" b="1">
            <a:solidFill>
              <a:srgbClr val="00B0F0"/>
            </a:solidFill>
          </a:endParaRPr>
        </a:p>
      </xdr:txBody>
    </xdr:sp>
    <xdr:clientData/>
  </xdr:twoCellAnchor>
  <xdr:twoCellAnchor>
    <xdr:from>
      <xdr:col>11</xdr:col>
      <xdr:colOff>156703</xdr:colOff>
      <xdr:row>121</xdr:row>
      <xdr:rowOff>59871</xdr:rowOff>
    </xdr:from>
    <xdr:to>
      <xdr:col>11</xdr:col>
      <xdr:colOff>156703</xdr:colOff>
      <xdr:row>124</xdr:row>
      <xdr:rowOff>204107</xdr:rowOff>
    </xdr:to>
    <xdr:cxnSp macro="">
      <xdr:nvCxnSpPr>
        <xdr:cNvPr id="47" name="Straight Arrow Connector 46">
          <a:extLst>
            <a:ext uri="{FF2B5EF4-FFF2-40B4-BE49-F238E27FC236}">
              <a16:creationId xmlns:a16="http://schemas.microsoft.com/office/drawing/2014/main" id="{CBD2D9DF-5D17-4E4F-9E34-76F8EA21DB33}"/>
            </a:ext>
          </a:extLst>
        </xdr:cNvPr>
        <xdr:cNvCxnSpPr/>
      </xdr:nvCxnSpPr>
      <xdr:spPr>
        <a:xfrm flipV="1">
          <a:off x="2102524" y="28049764"/>
          <a:ext cx="0" cy="83820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129672</xdr:colOff>
      <xdr:row>124</xdr:row>
      <xdr:rowOff>138320</xdr:rowOff>
    </xdr:from>
    <xdr:to>
      <xdr:col>32</xdr:col>
      <xdr:colOff>162533</xdr:colOff>
      <xdr:row>125</xdr:row>
      <xdr:rowOff>146803</xdr:rowOff>
    </xdr:to>
    <xdr:sp macro="" textlink="BX15">
      <xdr:nvSpPr>
        <xdr:cNvPr id="26" name="TextBox 25">
          <a:extLst>
            <a:ext uri="{FF2B5EF4-FFF2-40B4-BE49-F238E27FC236}">
              <a16:creationId xmlns:a16="http://schemas.microsoft.com/office/drawing/2014/main" id="{4724D815-615E-4879-9FBF-6B85C708123A}"/>
            </a:ext>
          </a:extLst>
        </xdr:cNvPr>
        <xdr:cNvSpPr txBox="1"/>
      </xdr:nvSpPr>
      <xdr:spPr>
        <a:xfrm>
          <a:off x="4970613" y="27928908"/>
          <a:ext cx="929332" cy="232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E63D7B1-D41B-447C-A321-4D7FAAACEE1B}" type="TxLink">
            <a:rPr lang="en-US" sz="1100" b="1" i="0" u="none" strike="noStrike">
              <a:solidFill>
                <a:srgbClr val="0070C0"/>
              </a:solidFill>
              <a:latin typeface="Calibri"/>
              <a:ea typeface="Calibri"/>
              <a:cs typeface="Calibri"/>
            </a:rPr>
            <a:pPr/>
            <a:t>25.0%</a:t>
          </a:fld>
          <a:endParaRPr lang="en-US" sz="1100" b="1"/>
        </a:p>
      </xdr:txBody>
    </xdr:sp>
    <xdr:clientData/>
  </xdr:twoCellAnchor>
  <xdr:twoCellAnchor>
    <xdr:from>
      <xdr:col>27</xdr:col>
      <xdr:colOff>136887</xdr:colOff>
      <xdr:row>123</xdr:row>
      <xdr:rowOff>221414</xdr:rowOff>
    </xdr:from>
    <xdr:to>
      <xdr:col>34</xdr:col>
      <xdr:colOff>94498</xdr:colOff>
      <xdr:row>125</xdr:row>
      <xdr:rowOff>5781</xdr:rowOff>
    </xdr:to>
    <xdr:sp macro="" textlink="BP15">
      <xdr:nvSpPr>
        <xdr:cNvPr id="27" name="TextBox 26">
          <a:extLst>
            <a:ext uri="{FF2B5EF4-FFF2-40B4-BE49-F238E27FC236}">
              <a16:creationId xmlns:a16="http://schemas.microsoft.com/office/drawing/2014/main" id="{27756D96-62AE-47E3-BCA3-3DDABED192A3}"/>
            </a:ext>
          </a:extLst>
        </xdr:cNvPr>
        <xdr:cNvSpPr txBox="1"/>
      </xdr:nvSpPr>
      <xdr:spPr>
        <a:xfrm>
          <a:off x="4977828" y="27787885"/>
          <a:ext cx="1212670"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F9358A8-AC1E-4790-9312-8ABE92C2E121}" type="TxLink">
            <a:rPr lang="en-US" sz="1100" b="1" i="0" u="none" strike="noStrike">
              <a:solidFill>
                <a:srgbClr val="0E9ED9"/>
              </a:solidFill>
              <a:latin typeface="Calibri"/>
              <a:ea typeface="Calibri"/>
              <a:cs typeface="Calibri"/>
            </a:rPr>
            <a:pPr/>
            <a:t>55.6%</a:t>
          </a:fld>
          <a:endParaRPr lang="en-US" sz="1100" b="1"/>
        </a:p>
      </xdr:txBody>
    </xdr:sp>
    <xdr:clientData/>
  </xdr:twoCellAnchor>
  <xdr:twoCellAnchor>
    <xdr:from>
      <xdr:col>33</xdr:col>
      <xdr:colOff>94981</xdr:colOff>
      <xdr:row>123</xdr:row>
      <xdr:rowOff>52260</xdr:rowOff>
    </xdr:from>
    <xdr:to>
      <xdr:col>42</xdr:col>
      <xdr:colOff>3</xdr:colOff>
      <xdr:row>124</xdr:row>
      <xdr:rowOff>44822</xdr:rowOff>
    </xdr:to>
    <xdr:sp macro="" textlink="DJ8">
      <xdr:nvSpPr>
        <xdr:cNvPr id="38" name="TextBox 37">
          <a:extLst>
            <a:ext uri="{FF2B5EF4-FFF2-40B4-BE49-F238E27FC236}">
              <a16:creationId xmlns:a16="http://schemas.microsoft.com/office/drawing/2014/main" id="{05FD49C8-BC81-4E44-A3B8-5849D2367636}"/>
            </a:ext>
          </a:extLst>
        </xdr:cNvPr>
        <xdr:cNvSpPr txBox="1"/>
      </xdr:nvSpPr>
      <xdr:spPr>
        <a:xfrm>
          <a:off x="6011687" y="27618731"/>
          <a:ext cx="1518669" cy="216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A082FC9-96FB-4EEA-AE85-7830800CAB53}" type="TxLink">
            <a:rPr lang="en-US" sz="1100" b="1" i="0" u="none" strike="noStrike">
              <a:solidFill>
                <a:srgbClr val="FF0000"/>
              </a:solidFill>
              <a:latin typeface="Calibri"/>
              <a:ea typeface="Calibri"/>
              <a:cs typeface="Calibri"/>
            </a:rPr>
            <a:pPr/>
            <a:t>1031</a:t>
          </a:fld>
          <a:endParaRPr lang="en-US" sz="1100" b="1">
            <a:solidFill>
              <a:srgbClr val="FF0000"/>
            </a:solidFill>
          </a:endParaRPr>
        </a:p>
      </xdr:txBody>
    </xdr:sp>
    <xdr:clientData/>
  </xdr:twoCellAnchor>
  <xdr:twoCellAnchor>
    <xdr:from>
      <xdr:col>33</xdr:col>
      <xdr:colOff>112062</xdr:colOff>
      <xdr:row>123</xdr:row>
      <xdr:rowOff>201789</xdr:rowOff>
    </xdr:from>
    <xdr:to>
      <xdr:col>38</xdr:col>
      <xdr:colOff>144924</xdr:colOff>
      <xdr:row>124</xdr:row>
      <xdr:rowOff>210273</xdr:rowOff>
    </xdr:to>
    <xdr:sp macro="" textlink="ER11">
      <xdr:nvSpPr>
        <xdr:cNvPr id="40" name="TextBox 39">
          <a:extLst>
            <a:ext uri="{FF2B5EF4-FFF2-40B4-BE49-F238E27FC236}">
              <a16:creationId xmlns:a16="http://schemas.microsoft.com/office/drawing/2014/main" id="{12AC2142-D9E6-4564-823C-D9BDF23F4791}"/>
            </a:ext>
          </a:extLst>
        </xdr:cNvPr>
        <xdr:cNvSpPr txBox="1"/>
      </xdr:nvSpPr>
      <xdr:spPr>
        <a:xfrm>
          <a:off x="6028768" y="27768260"/>
          <a:ext cx="929332" cy="232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A7BF73A-CAB7-4FFB-9253-9417426C999A}" type="TxLink">
            <a:rPr lang="en-US" sz="1100" b="1" i="0" u="none" strike="noStrike">
              <a:solidFill>
                <a:srgbClr val="00B0F0"/>
              </a:solidFill>
              <a:latin typeface="Calibri"/>
              <a:ea typeface="Calibri"/>
              <a:cs typeface="Calibri"/>
            </a:rPr>
            <a:pPr/>
            <a:t>1312</a:t>
          </a:fld>
          <a:endParaRPr lang="en-US" sz="1100" b="1">
            <a:solidFill>
              <a:srgbClr val="00B0F0"/>
            </a:solidFill>
          </a:endParaRPr>
        </a:p>
      </xdr:txBody>
    </xdr:sp>
    <xdr:clientData/>
  </xdr:twoCellAnchor>
  <xdr:twoCellAnchor>
    <xdr:from>
      <xdr:col>33</xdr:col>
      <xdr:colOff>96867</xdr:colOff>
      <xdr:row>124</xdr:row>
      <xdr:rowOff>116794</xdr:rowOff>
    </xdr:from>
    <xdr:to>
      <xdr:col>40</xdr:col>
      <xdr:colOff>54478</xdr:colOff>
      <xdr:row>125</xdr:row>
      <xdr:rowOff>125278</xdr:rowOff>
    </xdr:to>
    <xdr:sp macro="" textlink="FM11">
      <xdr:nvSpPr>
        <xdr:cNvPr id="41" name="TextBox 40">
          <a:extLst>
            <a:ext uri="{FF2B5EF4-FFF2-40B4-BE49-F238E27FC236}">
              <a16:creationId xmlns:a16="http://schemas.microsoft.com/office/drawing/2014/main" id="{18DE9AC8-08BA-43C6-B42C-0071175E1C5B}"/>
            </a:ext>
          </a:extLst>
        </xdr:cNvPr>
        <xdr:cNvSpPr txBox="1"/>
      </xdr:nvSpPr>
      <xdr:spPr>
        <a:xfrm>
          <a:off x="6013573" y="27907382"/>
          <a:ext cx="1212670"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15D29AE-491C-4077-BE17-4D44859A4146}" type="TxLink">
            <a:rPr lang="en-US" sz="1100" b="1" i="0" u="none" strike="noStrike">
              <a:solidFill>
                <a:srgbClr val="0070C0"/>
              </a:solidFill>
              <a:latin typeface="Calibri"/>
              <a:ea typeface="Calibri"/>
              <a:cs typeface="Calibri"/>
            </a:rPr>
            <a:pPr/>
            <a:t>880</a:t>
          </a:fld>
          <a:endParaRPr lang="en-US" sz="1100" b="1">
            <a:solidFill>
              <a:srgbClr val="0070C0"/>
            </a:solidFill>
          </a:endParaRPr>
        </a:p>
      </xdr:txBody>
    </xdr:sp>
    <xdr:clientData/>
  </xdr:twoCellAnchor>
  <xdr:twoCellAnchor>
    <xdr:from>
      <xdr:col>29</xdr:col>
      <xdr:colOff>176492</xdr:colOff>
      <xdr:row>33</xdr:row>
      <xdr:rowOff>82922</xdr:rowOff>
    </xdr:from>
    <xdr:to>
      <xdr:col>34</xdr:col>
      <xdr:colOff>168209</xdr:colOff>
      <xdr:row>34</xdr:row>
      <xdr:rowOff>99486</xdr:rowOff>
    </xdr:to>
    <xdr:sp macro="" textlink="GE11">
      <xdr:nvSpPr>
        <xdr:cNvPr id="43" name="TextBox 42">
          <a:extLst>
            <a:ext uri="{FF2B5EF4-FFF2-40B4-BE49-F238E27FC236}">
              <a16:creationId xmlns:a16="http://schemas.microsoft.com/office/drawing/2014/main" id="{0D913DC7-A43A-4A50-812E-4B66EBB6531E}"/>
            </a:ext>
          </a:extLst>
        </xdr:cNvPr>
        <xdr:cNvSpPr txBox="1"/>
      </xdr:nvSpPr>
      <xdr:spPr>
        <a:xfrm>
          <a:off x="5424767" y="7626722"/>
          <a:ext cx="896592" cy="245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A1A21F5-FCFA-46EA-A4C4-92CD1D5C192B}" type="TxLink">
            <a:rPr lang="en-US" sz="1200" b="0" i="0" u="none" strike="noStrike">
              <a:solidFill>
                <a:srgbClr val="000000"/>
              </a:solidFill>
              <a:latin typeface="Calibri"/>
              <a:ea typeface="Calibri"/>
              <a:cs typeface="Calibri"/>
            </a:rPr>
            <a:pPr/>
            <a:t>880 amps</a:t>
          </a:fld>
          <a:endParaRPr lang="en-US" sz="1400" b="1" baseline="0"/>
        </a:p>
      </xdr:txBody>
    </xdr:sp>
    <xdr:clientData/>
  </xdr:twoCellAnchor>
  <xdr:twoCellAnchor>
    <xdr:from>
      <xdr:col>14</xdr:col>
      <xdr:colOff>112058</xdr:colOff>
      <xdr:row>121</xdr:row>
      <xdr:rowOff>212910</xdr:rowOff>
    </xdr:from>
    <xdr:to>
      <xdr:col>21</xdr:col>
      <xdr:colOff>78441</xdr:colOff>
      <xdr:row>122</xdr:row>
      <xdr:rowOff>207063</xdr:rowOff>
    </xdr:to>
    <xdr:sp macro="" textlink="GE11">
      <xdr:nvSpPr>
        <xdr:cNvPr id="48" name="TextBox 47">
          <a:extLst>
            <a:ext uri="{FF2B5EF4-FFF2-40B4-BE49-F238E27FC236}">
              <a16:creationId xmlns:a16="http://schemas.microsoft.com/office/drawing/2014/main" id="{35709625-D7C1-4351-9082-B92FD0AFBA5E}"/>
            </a:ext>
          </a:extLst>
        </xdr:cNvPr>
        <xdr:cNvSpPr txBox="1"/>
      </xdr:nvSpPr>
      <xdr:spPr>
        <a:xfrm>
          <a:off x="2622176" y="27331145"/>
          <a:ext cx="1221441" cy="218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A1A21F5-FCFA-46EA-A4C4-92CD1D5C192B}" type="TxLink">
            <a:rPr lang="en-US" sz="1400" b="0" i="0" u="none" strike="noStrike">
              <a:solidFill>
                <a:srgbClr val="000000"/>
              </a:solidFill>
              <a:latin typeface="Calibri"/>
              <a:ea typeface="Calibri"/>
              <a:cs typeface="Calibri"/>
            </a:rPr>
            <a:pPr/>
            <a:t>880 amps</a:t>
          </a:fld>
          <a:endParaRPr lang="en-US" sz="1600" b="1" baseline="0"/>
        </a:p>
      </xdr:txBody>
    </xdr:sp>
    <xdr:clientData/>
  </xdr:twoCellAnchor>
  <xdr:twoCellAnchor>
    <xdr:from>
      <xdr:col>27</xdr:col>
      <xdr:colOff>145679</xdr:colOff>
      <xdr:row>123</xdr:row>
      <xdr:rowOff>89646</xdr:rowOff>
    </xdr:from>
    <xdr:to>
      <xdr:col>34</xdr:col>
      <xdr:colOff>103290</xdr:colOff>
      <xdr:row>124</xdr:row>
      <xdr:rowOff>98131</xdr:rowOff>
    </xdr:to>
    <xdr:sp macro="" textlink="BH15">
      <xdr:nvSpPr>
        <xdr:cNvPr id="49" name="TextBox 48">
          <a:extLst>
            <a:ext uri="{FF2B5EF4-FFF2-40B4-BE49-F238E27FC236}">
              <a16:creationId xmlns:a16="http://schemas.microsoft.com/office/drawing/2014/main" id="{45EDE154-9B81-411B-8F42-89625FA4A79B}"/>
            </a:ext>
          </a:extLst>
        </xdr:cNvPr>
        <xdr:cNvSpPr txBox="1"/>
      </xdr:nvSpPr>
      <xdr:spPr>
        <a:xfrm>
          <a:off x="4986620" y="27656117"/>
          <a:ext cx="1212670"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8BBACDA-0A4D-4A4A-9C12-8937DF284AAD}" type="TxLink">
            <a:rPr lang="en-US" sz="1100" b="1" i="0" u="none" strike="noStrike">
              <a:solidFill>
                <a:srgbClr val="FF0000"/>
              </a:solidFill>
              <a:latin typeface="Calibri"/>
              <a:ea typeface="Calibri"/>
              <a:cs typeface="Calibri"/>
            </a:rPr>
            <a:pPr/>
            <a:t>34.3%</a:t>
          </a:fld>
          <a:endParaRPr lang="en-US" sz="1100" b="1">
            <a:solidFill>
              <a:srgbClr val="0070C0"/>
            </a:solidFill>
          </a:endParaRPr>
        </a:p>
      </xdr:txBody>
    </xdr:sp>
    <xdr:clientData/>
  </xdr:twoCellAnchor>
  <xdr:twoCellAnchor>
    <xdr:from>
      <xdr:col>26</xdr:col>
      <xdr:colOff>123265</xdr:colOff>
      <xdr:row>127</xdr:row>
      <xdr:rowOff>123265</xdr:rowOff>
    </xdr:from>
    <xdr:to>
      <xdr:col>38</xdr:col>
      <xdr:colOff>78442</xdr:colOff>
      <xdr:row>128</xdr:row>
      <xdr:rowOff>123265</xdr:rowOff>
    </xdr:to>
    <xdr:sp macro="" textlink="">
      <xdr:nvSpPr>
        <xdr:cNvPr id="50" name="TextBox 49">
          <a:extLst>
            <a:ext uri="{FF2B5EF4-FFF2-40B4-BE49-F238E27FC236}">
              <a16:creationId xmlns:a16="http://schemas.microsoft.com/office/drawing/2014/main" id="{77A60270-60A0-4FBB-8E0A-DD7E8A30CCF5}"/>
            </a:ext>
          </a:extLst>
        </xdr:cNvPr>
        <xdr:cNvSpPr txBox="1"/>
      </xdr:nvSpPr>
      <xdr:spPr>
        <a:xfrm>
          <a:off x="4784912" y="28586206"/>
          <a:ext cx="2106706" cy="224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t>Voltage at Motor Terminals</a:t>
          </a:r>
          <a:br>
            <a:rPr lang="en-US" sz="1100" b="0"/>
          </a:br>
          <a:endParaRPr lang="en-US" sz="1100" b="0"/>
        </a:p>
        <a:p>
          <a:pPr algn="ctr"/>
          <a:endParaRPr lang="en-US" sz="1100" b="0"/>
        </a:p>
      </xdr:txBody>
    </xdr:sp>
    <xdr:clientData/>
  </xdr:twoCellAnchor>
  <xdr:twoCellAnchor>
    <xdr:from>
      <xdr:col>26</xdr:col>
      <xdr:colOff>156883</xdr:colOff>
      <xdr:row>129</xdr:row>
      <xdr:rowOff>89648</xdr:rowOff>
    </xdr:from>
    <xdr:to>
      <xdr:col>31</xdr:col>
      <xdr:colOff>33617</xdr:colOff>
      <xdr:row>129</xdr:row>
      <xdr:rowOff>89648</xdr:rowOff>
    </xdr:to>
    <xdr:cxnSp macro="">
      <xdr:nvCxnSpPr>
        <xdr:cNvPr id="56" name="Straight Connector 55">
          <a:extLst>
            <a:ext uri="{FF2B5EF4-FFF2-40B4-BE49-F238E27FC236}">
              <a16:creationId xmlns:a16="http://schemas.microsoft.com/office/drawing/2014/main" id="{76A9FF8F-F5DC-A699-9743-BBBC94029A78}"/>
            </a:ext>
          </a:extLst>
        </xdr:cNvPr>
        <xdr:cNvCxnSpPr/>
      </xdr:nvCxnSpPr>
      <xdr:spPr>
        <a:xfrm>
          <a:off x="4818530" y="29000824"/>
          <a:ext cx="77320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2</xdr:colOff>
      <xdr:row>129</xdr:row>
      <xdr:rowOff>89648</xdr:rowOff>
    </xdr:from>
    <xdr:to>
      <xdr:col>34</xdr:col>
      <xdr:colOff>136907</xdr:colOff>
      <xdr:row>130</xdr:row>
      <xdr:rowOff>98132</xdr:rowOff>
    </xdr:to>
    <xdr:sp macro="" textlink="DJ12">
      <xdr:nvSpPr>
        <xdr:cNvPr id="57" name="TextBox 56">
          <a:extLst>
            <a:ext uri="{FF2B5EF4-FFF2-40B4-BE49-F238E27FC236}">
              <a16:creationId xmlns:a16="http://schemas.microsoft.com/office/drawing/2014/main" id="{8D9EC19C-2E59-4FBB-AD1D-10A7FE9A4AB2}"/>
            </a:ext>
          </a:extLst>
        </xdr:cNvPr>
        <xdr:cNvSpPr txBox="1"/>
      </xdr:nvSpPr>
      <xdr:spPr>
        <a:xfrm>
          <a:off x="5020237" y="29000824"/>
          <a:ext cx="1212670"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108A328-0C55-4F39-BA33-705F2C32A9F5}" type="TxLink">
            <a:rPr lang="en-US" sz="1100" b="1" i="0" u="none" strike="noStrike">
              <a:solidFill>
                <a:srgbClr val="FF0000"/>
              </a:solidFill>
              <a:latin typeface="Calibri"/>
              <a:ea typeface="Calibri"/>
              <a:cs typeface="Calibri"/>
            </a:rPr>
            <a:pPr/>
            <a:t>8087</a:t>
          </a:fld>
          <a:endParaRPr lang="en-US" sz="1100" b="1">
            <a:solidFill>
              <a:srgbClr val="FF0000"/>
            </a:solidFill>
          </a:endParaRPr>
        </a:p>
      </xdr:txBody>
    </xdr:sp>
    <xdr:clientData/>
  </xdr:twoCellAnchor>
  <xdr:twoCellAnchor>
    <xdr:from>
      <xdr:col>27</xdr:col>
      <xdr:colOff>174814</xdr:colOff>
      <xdr:row>130</xdr:row>
      <xdr:rowOff>6723</xdr:rowOff>
    </xdr:from>
    <xdr:to>
      <xdr:col>34</xdr:col>
      <xdr:colOff>132425</xdr:colOff>
      <xdr:row>131</xdr:row>
      <xdr:rowOff>15207</xdr:rowOff>
    </xdr:to>
    <xdr:sp macro="" textlink="ER15">
      <xdr:nvSpPr>
        <xdr:cNvPr id="60" name="TextBox 59">
          <a:extLst>
            <a:ext uri="{FF2B5EF4-FFF2-40B4-BE49-F238E27FC236}">
              <a16:creationId xmlns:a16="http://schemas.microsoft.com/office/drawing/2014/main" id="{F4B40F07-BB18-43C3-93BA-0359C566966C}"/>
            </a:ext>
          </a:extLst>
        </xdr:cNvPr>
        <xdr:cNvSpPr txBox="1"/>
      </xdr:nvSpPr>
      <xdr:spPr>
        <a:xfrm>
          <a:off x="5015755" y="29142017"/>
          <a:ext cx="1212670"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E6B66F3-22B8-4920-8EA6-42B9D529924D}" type="TxLink">
            <a:rPr lang="en-US" sz="1100" b="1" i="0" u="none" strike="noStrike">
              <a:solidFill>
                <a:srgbClr val="00B0F0"/>
              </a:solidFill>
              <a:latin typeface="Calibri"/>
              <a:ea typeface="Calibri"/>
              <a:cs typeface="Calibri"/>
            </a:rPr>
            <a:pPr/>
            <a:t>10293</a:t>
          </a:fld>
          <a:endParaRPr lang="en-US" sz="1100" b="1">
            <a:solidFill>
              <a:srgbClr val="00B0F0"/>
            </a:solidFill>
          </a:endParaRPr>
        </a:p>
      </xdr:txBody>
    </xdr:sp>
    <xdr:clientData/>
  </xdr:twoCellAnchor>
  <xdr:twoCellAnchor>
    <xdr:from>
      <xdr:col>27</xdr:col>
      <xdr:colOff>170331</xdr:colOff>
      <xdr:row>130</xdr:row>
      <xdr:rowOff>170329</xdr:rowOff>
    </xdr:from>
    <xdr:to>
      <xdr:col>34</xdr:col>
      <xdr:colOff>127942</xdr:colOff>
      <xdr:row>131</xdr:row>
      <xdr:rowOff>178813</xdr:rowOff>
    </xdr:to>
    <xdr:sp macro="" textlink="FM15">
      <xdr:nvSpPr>
        <xdr:cNvPr id="61" name="TextBox 60">
          <a:extLst>
            <a:ext uri="{FF2B5EF4-FFF2-40B4-BE49-F238E27FC236}">
              <a16:creationId xmlns:a16="http://schemas.microsoft.com/office/drawing/2014/main" id="{7FA585C2-26F9-471D-BB6C-6C5678861A7B}"/>
            </a:ext>
          </a:extLst>
        </xdr:cNvPr>
        <xdr:cNvSpPr txBox="1"/>
      </xdr:nvSpPr>
      <xdr:spPr>
        <a:xfrm>
          <a:off x="5011272" y="29305623"/>
          <a:ext cx="1212670"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BE89CDF-F9A5-48D3-9766-C2733AD9E2F0}" type="TxLink">
            <a:rPr lang="en-US" sz="1100" b="1" i="0" u="none" strike="noStrike">
              <a:solidFill>
                <a:srgbClr val="0070C0"/>
              </a:solidFill>
              <a:latin typeface="Calibri"/>
              <a:ea typeface="Calibri"/>
              <a:cs typeface="Calibri"/>
            </a:rPr>
            <a:pPr/>
            <a:t>6900</a:t>
          </a:fld>
          <a:endParaRPr lang="en-US" sz="1100" b="1">
            <a:solidFill>
              <a:srgbClr val="0070C0"/>
            </a:solidFill>
          </a:endParaRPr>
        </a:p>
      </xdr:txBody>
    </xdr:sp>
    <xdr:clientData/>
  </xdr:twoCellAnchor>
  <xdr:twoCellAnchor>
    <xdr:from>
      <xdr:col>32</xdr:col>
      <xdr:colOff>145676</xdr:colOff>
      <xdr:row>129</xdr:row>
      <xdr:rowOff>100853</xdr:rowOff>
    </xdr:from>
    <xdr:to>
      <xdr:col>37</xdr:col>
      <xdr:colOff>22411</xdr:colOff>
      <xdr:row>129</xdr:row>
      <xdr:rowOff>100853</xdr:rowOff>
    </xdr:to>
    <xdr:cxnSp macro="">
      <xdr:nvCxnSpPr>
        <xdr:cNvPr id="63" name="Straight Connector 62">
          <a:extLst>
            <a:ext uri="{FF2B5EF4-FFF2-40B4-BE49-F238E27FC236}">
              <a16:creationId xmlns:a16="http://schemas.microsoft.com/office/drawing/2014/main" id="{CC1ADF03-1B72-4147-ABBF-583109D82D8E}"/>
            </a:ext>
          </a:extLst>
        </xdr:cNvPr>
        <xdr:cNvCxnSpPr/>
      </xdr:nvCxnSpPr>
      <xdr:spPr>
        <a:xfrm>
          <a:off x="5883088" y="29012029"/>
          <a:ext cx="77320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29135</xdr:colOff>
      <xdr:row>128</xdr:row>
      <xdr:rowOff>85165</xdr:rowOff>
    </xdr:from>
    <xdr:to>
      <xdr:col>34</xdr:col>
      <xdr:colOff>163606</xdr:colOff>
      <xdr:row>129</xdr:row>
      <xdr:rowOff>85166</xdr:rowOff>
    </xdr:to>
    <xdr:sp macro="" textlink="">
      <xdr:nvSpPr>
        <xdr:cNvPr id="64" name="TextBox 63">
          <a:extLst>
            <a:ext uri="{FF2B5EF4-FFF2-40B4-BE49-F238E27FC236}">
              <a16:creationId xmlns:a16="http://schemas.microsoft.com/office/drawing/2014/main" id="{482CAD6B-4E59-4657-A3E1-24C18B3EB739}"/>
            </a:ext>
          </a:extLst>
        </xdr:cNvPr>
        <xdr:cNvSpPr txBox="1"/>
      </xdr:nvSpPr>
      <xdr:spPr>
        <a:xfrm>
          <a:off x="4152900" y="28772224"/>
          <a:ext cx="2106706" cy="224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(Volts)</a:t>
          </a:r>
        </a:p>
        <a:p>
          <a:pPr algn="ctr"/>
          <a:br>
            <a:rPr lang="en-US" sz="1100"/>
          </a:br>
          <a:endParaRPr lang="en-US" sz="1100"/>
        </a:p>
        <a:p>
          <a:pPr algn="ctr"/>
          <a:endParaRPr lang="en-US" sz="1100"/>
        </a:p>
      </xdr:txBody>
    </xdr:sp>
    <xdr:clientData/>
  </xdr:twoCellAnchor>
  <xdr:twoCellAnchor>
    <xdr:from>
      <xdr:col>28</xdr:col>
      <xdr:colOff>159125</xdr:colOff>
      <xdr:row>128</xdr:row>
      <xdr:rowOff>103095</xdr:rowOff>
    </xdr:from>
    <xdr:to>
      <xdr:col>40</xdr:col>
      <xdr:colOff>114301</xdr:colOff>
      <xdr:row>129</xdr:row>
      <xdr:rowOff>103096</xdr:rowOff>
    </xdr:to>
    <xdr:sp macro="" textlink="">
      <xdr:nvSpPr>
        <xdr:cNvPr id="65" name="TextBox 64">
          <a:extLst>
            <a:ext uri="{FF2B5EF4-FFF2-40B4-BE49-F238E27FC236}">
              <a16:creationId xmlns:a16="http://schemas.microsoft.com/office/drawing/2014/main" id="{9358EA0F-B608-4902-BDE4-EF68869139D0}"/>
            </a:ext>
          </a:extLst>
        </xdr:cNvPr>
        <xdr:cNvSpPr txBox="1"/>
      </xdr:nvSpPr>
      <xdr:spPr>
        <a:xfrm>
          <a:off x="5179360" y="28790154"/>
          <a:ext cx="2106706" cy="224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 Voltage</a:t>
          </a:r>
        </a:p>
        <a:p>
          <a:pPr algn="ctr"/>
          <a:endParaRPr lang="en-US" sz="1100"/>
        </a:p>
      </xdr:txBody>
    </xdr:sp>
    <xdr:clientData/>
  </xdr:twoCellAnchor>
  <xdr:twoCellAnchor>
    <xdr:from>
      <xdr:col>33</xdr:col>
      <xdr:colOff>33617</xdr:colOff>
      <xdr:row>129</xdr:row>
      <xdr:rowOff>78441</xdr:rowOff>
    </xdr:from>
    <xdr:to>
      <xdr:col>39</xdr:col>
      <xdr:colOff>170522</xdr:colOff>
      <xdr:row>130</xdr:row>
      <xdr:rowOff>86925</xdr:rowOff>
    </xdr:to>
    <xdr:sp macro="" textlink="BH14">
      <xdr:nvSpPr>
        <xdr:cNvPr id="66" name="TextBox 65">
          <a:extLst>
            <a:ext uri="{FF2B5EF4-FFF2-40B4-BE49-F238E27FC236}">
              <a16:creationId xmlns:a16="http://schemas.microsoft.com/office/drawing/2014/main" id="{B90E45AA-0691-439F-8529-BD42CA989EEA}"/>
            </a:ext>
          </a:extLst>
        </xdr:cNvPr>
        <xdr:cNvSpPr txBox="1"/>
      </xdr:nvSpPr>
      <xdr:spPr>
        <a:xfrm>
          <a:off x="5950323" y="28989617"/>
          <a:ext cx="1212670"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55621C2-C35B-4259-A56D-AE44C7CCD8BE}" type="TxLink">
            <a:rPr lang="en-US" sz="1100" b="0" i="0" u="none" strike="noStrike">
              <a:solidFill>
                <a:srgbClr val="FF0000"/>
              </a:solidFill>
              <a:latin typeface="Calibri"/>
              <a:ea typeface="Calibri"/>
              <a:cs typeface="Calibri"/>
            </a:rPr>
            <a:pPr/>
            <a:t>58.6%</a:t>
          </a:fld>
          <a:endParaRPr lang="en-US" sz="1100" b="1">
            <a:solidFill>
              <a:srgbClr val="0070C0"/>
            </a:solidFill>
          </a:endParaRPr>
        </a:p>
      </xdr:txBody>
    </xdr:sp>
    <xdr:clientData/>
  </xdr:twoCellAnchor>
  <xdr:twoCellAnchor>
    <xdr:from>
      <xdr:col>33</xdr:col>
      <xdr:colOff>29135</xdr:colOff>
      <xdr:row>129</xdr:row>
      <xdr:rowOff>219636</xdr:rowOff>
    </xdr:from>
    <xdr:to>
      <xdr:col>39</xdr:col>
      <xdr:colOff>166040</xdr:colOff>
      <xdr:row>131</xdr:row>
      <xdr:rowOff>4002</xdr:rowOff>
    </xdr:to>
    <xdr:sp macro="" textlink="BP14">
      <xdr:nvSpPr>
        <xdr:cNvPr id="67" name="TextBox 66">
          <a:extLst>
            <a:ext uri="{FF2B5EF4-FFF2-40B4-BE49-F238E27FC236}">
              <a16:creationId xmlns:a16="http://schemas.microsoft.com/office/drawing/2014/main" id="{BC824DC5-D4AF-4313-A0EB-9FD929D343BF}"/>
            </a:ext>
          </a:extLst>
        </xdr:cNvPr>
        <xdr:cNvSpPr txBox="1"/>
      </xdr:nvSpPr>
      <xdr:spPr>
        <a:xfrm>
          <a:off x="5945841" y="29130812"/>
          <a:ext cx="1212670"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DE82D07-DF47-48C7-BB6E-D2D3CCC5FC10}" type="TxLink">
            <a:rPr lang="en-US" sz="1100" b="1" i="0" u="none" strike="noStrike">
              <a:solidFill>
                <a:srgbClr val="0E9ED9"/>
              </a:solidFill>
              <a:latin typeface="Calibri"/>
              <a:ea typeface="Calibri"/>
              <a:cs typeface="Calibri"/>
            </a:rPr>
            <a:pPr/>
            <a:t>74.6%</a:t>
          </a:fld>
          <a:endParaRPr lang="en-US" sz="1100" b="1">
            <a:solidFill>
              <a:srgbClr val="0070C0"/>
            </a:solidFill>
          </a:endParaRPr>
        </a:p>
      </xdr:txBody>
    </xdr:sp>
    <xdr:clientData/>
  </xdr:twoCellAnchor>
  <xdr:twoCellAnchor>
    <xdr:from>
      <xdr:col>33</xdr:col>
      <xdr:colOff>24652</xdr:colOff>
      <xdr:row>130</xdr:row>
      <xdr:rowOff>159124</xdr:rowOff>
    </xdr:from>
    <xdr:to>
      <xdr:col>39</xdr:col>
      <xdr:colOff>161557</xdr:colOff>
      <xdr:row>131</xdr:row>
      <xdr:rowOff>167608</xdr:rowOff>
    </xdr:to>
    <xdr:sp macro="" textlink="BX14">
      <xdr:nvSpPr>
        <xdr:cNvPr id="68" name="TextBox 67">
          <a:extLst>
            <a:ext uri="{FF2B5EF4-FFF2-40B4-BE49-F238E27FC236}">
              <a16:creationId xmlns:a16="http://schemas.microsoft.com/office/drawing/2014/main" id="{1507495A-223C-476B-97DB-6E0C0D1C6BD1}"/>
            </a:ext>
          </a:extLst>
        </xdr:cNvPr>
        <xdr:cNvSpPr txBox="1"/>
      </xdr:nvSpPr>
      <xdr:spPr>
        <a:xfrm>
          <a:off x="5941358" y="29294418"/>
          <a:ext cx="1212670" cy="23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3F81311-D1D1-40E0-8D75-73034B84390F}" type="TxLink">
            <a:rPr lang="en-US" sz="1100" b="1" i="0" u="none" strike="noStrike">
              <a:solidFill>
                <a:srgbClr val="0070C0"/>
              </a:solidFill>
              <a:latin typeface="Calibri"/>
              <a:ea typeface="Calibri"/>
              <a:cs typeface="Calibri"/>
            </a:rPr>
            <a:pPr/>
            <a:t>50.0%</a:t>
          </a:fld>
          <a:endParaRPr lang="en-US" sz="1100" b="1">
            <a:solidFill>
              <a:srgbClr val="0070C0"/>
            </a:solidFill>
          </a:endParaRPr>
        </a:p>
      </xdr:txBody>
    </xdr:sp>
    <xdr:clientData/>
  </xdr:twoCellAnchor>
  <xdr:twoCellAnchor>
    <xdr:from>
      <xdr:col>26</xdr:col>
      <xdr:colOff>156883</xdr:colOff>
      <xdr:row>128</xdr:row>
      <xdr:rowOff>112059</xdr:rowOff>
    </xdr:from>
    <xdr:to>
      <xdr:col>37</xdr:col>
      <xdr:colOff>33618</xdr:colOff>
      <xdr:row>128</xdr:row>
      <xdr:rowOff>112059</xdr:rowOff>
    </xdr:to>
    <xdr:cxnSp macro="">
      <xdr:nvCxnSpPr>
        <xdr:cNvPr id="70" name="Straight Connector 69">
          <a:extLst>
            <a:ext uri="{FF2B5EF4-FFF2-40B4-BE49-F238E27FC236}">
              <a16:creationId xmlns:a16="http://schemas.microsoft.com/office/drawing/2014/main" id="{7A965A4F-6F7F-C99F-509E-78C250DC3382}"/>
            </a:ext>
          </a:extLst>
        </xdr:cNvPr>
        <xdr:cNvCxnSpPr/>
      </xdr:nvCxnSpPr>
      <xdr:spPr>
        <a:xfrm>
          <a:off x="4818530" y="28799118"/>
          <a:ext cx="184897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100853</xdr:colOff>
      <xdr:row>122</xdr:row>
      <xdr:rowOff>145676</xdr:rowOff>
    </xdr:from>
    <xdr:to>
      <xdr:col>37</xdr:col>
      <xdr:colOff>145679</xdr:colOff>
      <xdr:row>123</xdr:row>
      <xdr:rowOff>100852</xdr:rowOff>
    </xdr:to>
    <xdr:sp macro="" textlink="">
      <xdr:nvSpPr>
        <xdr:cNvPr id="73" name="TextBox 72">
          <a:extLst>
            <a:ext uri="{FF2B5EF4-FFF2-40B4-BE49-F238E27FC236}">
              <a16:creationId xmlns:a16="http://schemas.microsoft.com/office/drawing/2014/main" id="{C848B6A6-BA0C-43E0-A395-01326A04FB9B}"/>
            </a:ext>
          </a:extLst>
        </xdr:cNvPr>
        <xdr:cNvSpPr txBox="1"/>
      </xdr:nvSpPr>
      <xdr:spPr>
        <a:xfrm>
          <a:off x="5658971" y="27488029"/>
          <a:ext cx="1120590" cy="179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(amps)</a:t>
          </a:r>
        </a:p>
      </xdr:txBody>
    </xdr:sp>
    <xdr:clientData/>
  </xdr:twoCellAnchor>
  <xdr:twoCellAnchor>
    <xdr:from>
      <xdr:col>36</xdr:col>
      <xdr:colOff>11207</xdr:colOff>
      <xdr:row>122</xdr:row>
      <xdr:rowOff>89647</xdr:rowOff>
    </xdr:from>
    <xdr:to>
      <xdr:col>42</xdr:col>
      <xdr:colOff>56032</xdr:colOff>
      <xdr:row>123</xdr:row>
      <xdr:rowOff>161525</xdr:rowOff>
    </xdr:to>
    <xdr:sp macro="" textlink="">
      <xdr:nvSpPr>
        <xdr:cNvPr id="74" name="TextBox 73">
          <a:extLst>
            <a:ext uri="{FF2B5EF4-FFF2-40B4-BE49-F238E27FC236}">
              <a16:creationId xmlns:a16="http://schemas.microsoft.com/office/drawing/2014/main" id="{438CF301-C83C-416F-851B-E6407D3741E5}"/>
            </a:ext>
          </a:extLst>
        </xdr:cNvPr>
        <xdr:cNvSpPr txBox="1"/>
      </xdr:nvSpPr>
      <xdr:spPr>
        <a:xfrm>
          <a:off x="6465795" y="27432000"/>
          <a:ext cx="1120590" cy="2959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 FLA)</a:t>
          </a:r>
        </a:p>
      </xdr:txBody>
    </xdr:sp>
    <xdr:clientData/>
  </xdr:twoCellAnchor>
  <xdr:twoCellAnchor>
    <xdr:from>
      <xdr:col>37</xdr:col>
      <xdr:colOff>101691</xdr:colOff>
      <xdr:row>123</xdr:row>
      <xdr:rowOff>70192</xdr:rowOff>
    </xdr:from>
    <xdr:to>
      <xdr:col>46</xdr:col>
      <xdr:colOff>6713</xdr:colOff>
      <xdr:row>124</xdr:row>
      <xdr:rowOff>62754</xdr:rowOff>
    </xdr:to>
    <xdr:sp macro="" textlink="BH12">
      <xdr:nvSpPr>
        <xdr:cNvPr id="75" name="TextBox 74">
          <a:extLst>
            <a:ext uri="{FF2B5EF4-FFF2-40B4-BE49-F238E27FC236}">
              <a16:creationId xmlns:a16="http://schemas.microsoft.com/office/drawing/2014/main" id="{C6EEBB2E-E1AE-4E78-9979-A957C4D1ECFF}"/>
            </a:ext>
          </a:extLst>
        </xdr:cNvPr>
        <xdr:cNvSpPr txBox="1"/>
      </xdr:nvSpPr>
      <xdr:spPr>
        <a:xfrm>
          <a:off x="6735573" y="27636663"/>
          <a:ext cx="1518669" cy="216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C7A59E1-5AF0-43D3-939C-13246DC541AA}" type="TxLink">
            <a:rPr lang="en-US" sz="1100" b="0" i="0" u="none" strike="noStrike">
              <a:solidFill>
                <a:srgbClr val="FF0000"/>
              </a:solidFill>
              <a:latin typeface="Calibri"/>
              <a:ea typeface="Calibri"/>
              <a:cs typeface="Calibri"/>
            </a:rPr>
            <a:pPr/>
            <a:t>293.0%</a:t>
          </a:fld>
          <a:endParaRPr lang="en-US" sz="1100" b="1">
            <a:solidFill>
              <a:srgbClr val="FF0000"/>
            </a:solidFill>
          </a:endParaRPr>
        </a:p>
      </xdr:txBody>
    </xdr:sp>
    <xdr:clientData/>
  </xdr:twoCellAnchor>
  <xdr:twoCellAnchor>
    <xdr:from>
      <xdr:col>37</xdr:col>
      <xdr:colOff>100841</xdr:colOff>
      <xdr:row>123</xdr:row>
      <xdr:rowOff>212914</xdr:rowOff>
    </xdr:from>
    <xdr:to>
      <xdr:col>46</xdr:col>
      <xdr:colOff>5863</xdr:colOff>
      <xdr:row>124</xdr:row>
      <xdr:rowOff>205476</xdr:rowOff>
    </xdr:to>
    <xdr:sp macro="" textlink="BP12">
      <xdr:nvSpPr>
        <xdr:cNvPr id="76" name="TextBox 75">
          <a:extLst>
            <a:ext uri="{FF2B5EF4-FFF2-40B4-BE49-F238E27FC236}">
              <a16:creationId xmlns:a16="http://schemas.microsoft.com/office/drawing/2014/main" id="{6B8F157F-0A25-464C-8A75-9FF25ACB6EE3}"/>
            </a:ext>
          </a:extLst>
        </xdr:cNvPr>
        <xdr:cNvSpPr txBox="1"/>
      </xdr:nvSpPr>
      <xdr:spPr>
        <a:xfrm>
          <a:off x="6734723" y="27779385"/>
          <a:ext cx="1518669" cy="216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AD4747B-45E3-426B-9980-D78AD07C66E6}" type="TxLink">
            <a:rPr lang="en-US" sz="1100" b="1" i="0" u="none" strike="noStrike">
              <a:solidFill>
                <a:srgbClr val="0E9ED9"/>
              </a:solidFill>
              <a:latin typeface="Calibri"/>
              <a:ea typeface="Calibri"/>
              <a:cs typeface="Calibri"/>
            </a:rPr>
            <a:pPr/>
            <a:t>372.9%</a:t>
          </a:fld>
          <a:endParaRPr lang="en-US" sz="1100" b="1">
            <a:solidFill>
              <a:srgbClr val="FF0000"/>
            </a:solidFill>
          </a:endParaRPr>
        </a:p>
      </xdr:txBody>
    </xdr:sp>
    <xdr:clientData/>
  </xdr:twoCellAnchor>
  <xdr:twoCellAnchor>
    <xdr:from>
      <xdr:col>37</xdr:col>
      <xdr:colOff>85153</xdr:colOff>
      <xdr:row>124</xdr:row>
      <xdr:rowOff>118784</xdr:rowOff>
    </xdr:from>
    <xdr:to>
      <xdr:col>45</xdr:col>
      <xdr:colOff>169469</xdr:colOff>
      <xdr:row>125</xdr:row>
      <xdr:rowOff>111345</xdr:rowOff>
    </xdr:to>
    <xdr:sp macro="" textlink="BX12">
      <xdr:nvSpPr>
        <xdr:cNvPr id="77" name="TextBox 76">
          <a:extLst>
            <a:ext uri="{FF2B5EF4-FFF2-40B4-BE49-F238E27FC236}">
              <a16:creationId xmlns:a16="http://schemas.microsoft.com/office/drawing/2014/main" id="{60C057D1-8FE8-4CF3-BC07-23D6E6BB3007}"/>
            </a:ext>
          </a:extLst>
        </xdr:cNvPr>
        <xdr:cNvSpPr txBox="1"/>
      </xdr:nvSpPr>
      <xdr:spPr>
        <a:xfrm>
          <a:off x="6719035" y="27909372"/>
          <a:ext cx="1518669" cy="216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5C462D2-F1E4-4962-BE68-8F6107524D96}" type="TxLink">
            <a:rPr lang="en-US" sz="1100" b="1" i="0" u="none" strike="noStrike">
              <a:solidFill>
                <a:srgbClr val="0070C0"/>
              </a:solidFill>
              <a:latin typeface="Calibri"/>
              <a:ea typeface="Calibri"/>
              <a:cs typeface="Calibri"/>
            </a:rPr>
            <a:pPr/>
            <a:t>250.0%</a:t>
          </a:fld>
          <a:endParaRPr lang="en-US" sz="1100" b="1">
            <a:solidFill>
              <a:srgbClr val="FF0000"/>
            </a:solidFill>
          </a:endParaRPr>
        </a:p>
      </xdr:txBody>
    </xdr:sp>
    <xdr:clientData/>
  </xdr:twoCellAnchor>
  <xdr:twoCellAnchor>
    <xdr:from>
      <xdr:col>37</xdr:col>
      <xdr:colOff>112056</xdr:colOff>
      <xdr:row>123</xdr:row>
      <xdr:rowOff>112058</xdr:rowOff>
    </xdr:from>
    <xdr:to>
      <xdr:col>40</xdr:col>
      <xdr:colOff>112055</xdr:colOff>
      <xdr:row>123</xdr:row>
      <xdr:rowOff>112058</xdr:rowOff>
    </xdr:to>
    <xdr:cxnSp macro="">
      <xdr:nvCxnSpPr>
        <xdr:cNvPr id="79" name="Straight Connector 78">
          <a:extLst>
            <a:ext uri="{FF2B5EF4-FFF2-40B4-BE49-F238E27FC236}">
              <a16:creationId xmlns:a16="http://schemas.microsoft.com/office/drawing/2014/main" id="{DA6F1673-F08E-DD69-E740-A84059CA76A9}"/>
            </a:ext>
          </a:extLst>
        </xdr:cNvPr>
        <xdr:cNvCxnSpPr/>
      </xdr:nvCxnSpPr>
      <xdr:spPr>
        <a:xfrm>
          <a:off x="6745938" y="27678529"/>
          <a:ext cx="53788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78441</xdr:colOff>
      <xdr:row>122</xdr:row>
      <xdr:rowOff>134471</xdr:rowOff>
    </xdr:from>
    <xdr:to>
      <xdr:col>40</xdr:col>
      <xdr:colOff>123264</xdr:colOff>
      <xdr:row>122</xdr:row>
      <xdr:rowOff>134471</xdr:rowOff>
    </xdr:to>
    <xdr:cxnSp macro="">
      <xdr:nvCxnSpPr>
        <xdr:cNvPr id="81" name="Straight Connector 80">
          <a:extLst>
            <a:ext uri="{FF2B5EF4-FFF2-40B4-BE49-F238E27FC236}">
              <a16:creationId xmlns:a16="http://schemas.microsoft.com/office/drawing/2014/main" id="{8843A86E-27BE-0406-DC9A-D9EFEAAF86A7}"/>
            </a:ext>
          </a:extLst>
        </xdr:cNvPr>
        <xdr:cNvCxnSpPr/>
      </xdr:nvCxnSpPr>
      <xdr:spPr>
        <a:xfrm flipH="1">
          <a:off x="5815853" y="27476824"/>
          <a:ext cx="147917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95249</xdr:colOff>
      <xdr:row>141</xdr:row>
      <xdr:rowOff>19050</xdr:rowOff>
    </xdr:from>
    <xdr:to>
      <xdr:col>41</xdr:col>
      <xdr:colOff>85724</xdr:colOff>
      <xdr:row>145</xdr:row>
      <xdr:rowOff>9526</xdr:rowOff>
    </xdr:to>
    <xdr:sp macro="" textlink="">
      <xdr:nvSpPr>
        <xdr:cNvPr id="21" name="TextBox 20">
          <a:extLst>
            <a:ext uri="{FF2B5EF4-FFF2-40B4-BE49-F238E27FC236}">
              <a16:creationId xmlns:a16="http://schemas.microsoft.com/office/drawing/2014/main" id="{D3B4D4C1-1F2A-44B0-E20D-3D6130A42835}"/>
            </a:ext>
          </a:extLst>
        </xdr:cNvPr>
        <xdr:cNvSpPr txBox="1"/>
      </xdr:nvSpPr>
      <xdr:spPr>
        <a:xfrm>
          <a:off x="276224" y="32251650"/>
          <a:ext cx="7229475"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One-line diagram showing analysis results for three system configurations: the first, shown in </a:t>
          </a:r>
          <a:r>
            <a:rPr lang="en-US" b="1">
              <a:solidFill>
                <a:srgbClr val="FF0000"/>
              </a:solidFill>
            </a:rPr>
            <a:t>red text</a:t>
          </a:r>
          <a:r>
            <a:rPr lang="en-US"/>
            <a:t>, represents operation with no assistance from either the MotorVAR or the RVSS; the second, shown in </a:t>
          </a:r>
          <a:r>
            <a:rPr lang="en-US" b="1">
              <a:solidFill>
                <a:srgbClr val="00B0F0"/>
              </a:solidFill>
            </a:rPr>
            <a:t>light blue</a:t>
          </a:r>
          <a:r>
            <a:rPr lang="en-US"/>
            <a:t>, represents the MotorVAR-only case with the RVSS bypassed; and the third, shown in </a:t>
          </a:r>
          <a:r>
            <a:rPr lang="en-US" b="1">
              <a:solidFill>
                <a:srgbClr val="0070C0"/>
              </a:solidFill>
            </a:rPr>
            <a:t>dark blue</a:t>
          </a:r>
          <a:r>
            <a:rPr lang="en-US"/>
            <a:t>, represents operation with both the MotorVAR + RVSS in service.</a:t>
          </a:r>
          <a:endParaRPr lang="en-US" sz="1100"/>
        </a:p>
      </xdr:txBody>
    </xdr:sp>
    <xdr:clientData/>
  </xdr:twoCellAnchor>
  <xdr:twoCellAnchor>
    <xdr:from>
      <xdr:col>27</xdr:col>
      <xdr:colOff>95250</xdr:colOff>
      <xdr:row>21</xdr:row>
      <xdr:rowOff>161925</xdr:rowOff>
    </xdr:from>
    <xdr:to>
      <xdr:col>32</xdr:col>
      <xdr:colOff>66675</xdr:colOff>
      <xdr:row>22</xdr:row>
      <xdr:rowOff>152400</xdr:rowOff>
    </xdr:to>
    <xdr:sp macro="" textlink="">
      <xdr:nvSpPr>
        <xdr:cNvPr id="37" name="TextBox 36">
          <a:extLst>
            <a:ext uri="{FF2B5EF4-FFF2-40B4-BE49-F238E27FC236}">
              <a16:creationId xmlns:a16="http://schemas.microsoft.com/office/drawing/2014/main" id="{E9A46407-7D07-4C2D-AEBF-19BD4D009E6F}"/>
            </a:ext>
          </a:extLst>
        </xdr:cNvPr>
        <xdr:cNvSpPr txBox="1"/>
      </xdr:nvSpPr>
      <xdr:spPr>
        <a:xfrm>
          <a:off x="4981575" y="4962525"/>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Source</a:t>
          </a:r>
        </a:p>
      </xdr:txBody>
    </xdr:sp>
    <xdr:clientData/>
  </xdr:twoCellAnchor>
  <xdr:twoCellAnchor>
    <xdr:from>
      <xdr:col>33</xdr:col>
      <xdr:colOff>161925</xdr:colOff>
      <xdr:row>37</xdr:row>
      <xdr:rowOff>152400</xdr:rowOff>
    </xdr:from>
    <xdr:to>
      <xdr:col>38</xdr:col>
      <xdr:colOff>133350</xdr:colOff>
      <xdr:row>38</xdr:row>
      <xdr:rowOff>142875</xdr:rowOff>
    </xdr:to>
    <xdr:sp macro="" textlink="">
      <xdr:nvSpPr>
        <xdr:cNvPr id="42" name="TextBox 41">
          <a:extLst>
            <a:ext uri="{FF2B5EF4-FFF2-40B4-BE49-F238E27FC236}">
              <a16:creationId xmlns:a16="http://schemas.microsoft.com/office/drawing/2014/main" id="{BA838AA8-BEBC-4C2C-8172-D593A3DD10A3}"/>
            </a:ext>
          </a:extLst>
        </xdr:cNvPr>
        <xdr:cNvSpPr txBox="1"/>
      </xdr:nvSpPr>
      <xdr:spPr>
        <a:xfrm>
          <a:off x="6134100" y="8610600"/>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t>M</a:t>
          </a:r>
        </a:p>
      </xdr:txBody>
    </xdr:sp>
    <xdr:clientData/>
  </xdr:twoCellAnchor>
  <xdr:twoCellAnchor>
    <xdr:from>
      <xdr:col>20</xdr:col>
      <xdr:colOff>28575</xdr:colOff>
      <xdr:row>28</xdr:row>
      <xdr:rowOff>180974</xdr:rowOff>
    </xdr:from>
    <xdr:to>
      <xdr:col>28</xdr:col>
      <xdr:colOff>95250</xdr:colOff>
      <xdr:row>31</xdr:row>
      <xdr:rowOff>76199</xdr:rowOff>
    </xdr:to>
    <xdr:sp macro="" textlink="">
      <xdr:nvSpPr>
        <xdr:cNvPr id="51" name="TextBox 50">
          <a:extLst>
            <a:ext uri="{FF2B5EF4-FFF2-40B4-BE49-F238E27FC236}">
              <a16:creationId xmlns:a16="http://schemas.microsoft.com/office/drawing/2014/main" id="{CAB37F0E-8691-F0F1-4B61-892073B202C9}"/>
            </a:ext>
          </a:extLst>
        </xdr:cNvPr>
        <xdr:cNvSpPr txBox="1"/>
      </xdr:nvSpPr>
      <xdr:spPr>
        <a:xfrm>
          <a:off x="3648075" y="6581774"/>
          <a:ext cx="15144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a:t>Step-Down</a:t>
          </a:r>
          <a:br>
            <a:rPr lang="en-US" sz="1100"/>
          </a:br>
          <a:r>
            <a:rPr lang="en-US" sz="1100"/>
            <a:t>Transformer</a:t>
          </a:r>
        </a:p>
      </xdr:txBody>
    </xdr:sp>
    <xdr:clientData/>
  </xdr:twoCellAnchor>
  <xdr:twoCellAnchor>
    <xdr:from>
      <xdr:col>28</xdr:col>
      <xdr:colOff>171450</xdr:colOff>
      <xdr:row>39</xdr:row>
      <xdr:rowOff>85725</xdr:rowOff>
    </xdr:from>
    <xdr:to>
      <xdr:col>34</xdr:col>
      <xdr:colOff>48986</xdr:colOff>
      <xdr:row>40</xdr:row>
      <xdr:rowOff>140154</xdr:rowOff>
    </xdr:to>
    <xdr:sp macro="" textlink="">
      <xdr:nvSpPr>
        <xdr:cNvPr id="17" name="TextBox 16">
          <a:extLst>
            <a:ext uri="{FF2B5EF4-FFF2-40B4-BE49-F238E27FC236}">
              <a16:creationId xmlns:a16="http://schemas.microsoft.com/office/drawing/2014/main" id="{1D5ACBC0-0CC4-4FAB-A444-237426C11D5F}"/>
            </a:ext>
          </a:extLst>
        </xdr:cNvPr>
        <xdr:cNvSpPr txBox="1"/>
      </xdr:nvSpPr>
      <xdr:spPr>
        <a:xfrm>
          <a:off x="5238750" y="9001125"/>
          <a:ext cx="963386" cy="28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Controls</a:t>
          </a:r>
        </a:p>
      </xdr:txBody>
    </xdr:sp>
    <xdr:clientData/>
  </xdr:twoCellAnchor>
  <xdr:twoCellAnchor>
    <xdr:from>
      <xdr:col>13</xdr:col>
      <xdr:colOff>9525</xdr:colOff>
      <xdr:row>130</xdr:row>
      <xdr:rowOff>85725</xdr:rowOff>
    </xdr:from>
    <xdr:to>
      <xdr:col>18</xdr:col>
      <xdr:colOff>68036</xdr:colOff>
      <xdr:row>131</xdr:row>
      <xdr:rowOff>140154</xdr:rowOff>
    </xdr:to>
    <xdr:sp macro="" textlink="">
      <xdr:nvSpPr>
        <xdr:cNvPr id="52" name="TextBox 51">
          <a:extLst>
            <a:ext uri="{FF2B5EF4-FFF2-40B4-BE49-F238E27FC236}">
              <a16:creationId xmlns:a16="http://schemas.microsoft.com/office/drawing/2014/main" id="{A4AD0DD6-F654-46A7-A435-936EB0A3842C}"/>
            </a:ext>
          </a:extLst>
        </xdr:cNvPr>
        <xdr:cNvSpPr txBox="1"/>
      </xdr:nvSpPr>
      <xdr:spPr>
        <a:xfrm>
          <a:off x="2362200" y="29803725"/>
          <a:ext cx="963386" cy="28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Controls</a:t>
          </a:r>
          <a:endParaRPr lang="en-US" sz="1200"/>
        </a:p>
      </xdr:txBody>
    </xdr:sp>
    <xdr:clientData/>
  </xdr:twoCellAnchor>
  <xdr:twoCellAnchor>
    <xdr:from>
      <xdr:col>14</xdr:col>
      <xdr:colOff>133350</xdr:colOff>
      <xdr:row>121</xdr:row>
      <xdr:rowOff>9525</xdr:rowOff>
    </xdr:from>
    <xdr:to>
      <xdr:col>21</xdr:col>
      <xdr:colOff>9525</xdr:colOff>
      <xdr:row>122</xdr:row>
      <xdr:rowOff>26090</xdr:rowOff>
    </xdr:to>
    <xdr:sp macro="" textlink="GE12">
      <xdr:nvSpPr>
        <xdr:cNvPr id="62" name="TextBox 61">
          <a:extLst>
            <a:ext uri="{FF2B5EF4-FFF2-40B4-BE49-F238E27FC236}">
              <a16:creationId xmlns:a16="http://schemas.microsoft.com/office/drawing/2014/main" id="{32F8B164-1833-40EA-A967-4DB538D30D4F}"/>
            </a:ext>
          </a:extLst>
        </xdr:cNvPr>
        <xdr:cNvSpPr txBox="1"/>
      </xdr:nvSpPr>
      <xdr:spPr>
        <a:xfrm>
          <a:off x="2667000" y="27670125"/>
          <a:ext cx="1143000" cy="245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41230AC-AFAF-42D0-8F62-D54742E8FBC1}" type="TxLink">
            <a:rPr lang="en-US" sz="1400" b="0" i="0" u="none" strike="noStrike">
              <a:solidFill>
                <a:srgbClr val="000000"/>
              </a:solidFill>
              <a:latin typeface="Calibri"/>
              <a:ea typeface="Calibri"/>
              <a:cs typeface="Calibri"/>
            </a:rPr>
            <a:pPr/>
            <a:t>ILIM: 250%</a:t>
          </a:fld>
          <a:endParaRPr lang="en-US" sz="1800" b="0"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34178</xdr:colOff>
      <xdr:row>13</xdr:row>
      <xdr:rowOff>213216</xdr:rowOff>
    </xdr:from>
    <xdr:to>
      <xdr:col>41</xdr:col>
      <xdr:colOff>95251</xdr:colOff>
      <xdr:row>18</xdr:row>
      <xdr:rowOff>174810</xdr:rowOff>
    </xdr:to>
    <xdr:sp macro="" textlink="">
      <xdr:nvSpPr>
        <xdr:cNvPr id="2" name="TextBox 1">
          <a:extLst>
            <a:ext uri="{FF2B5EF4-FFF2-40B4-BE49-F238E27FC236}">
              <a16:creationId xmlns:a16="http://schemas.microsoft.com/office/drawing/2014/main" id="{2C724CFE-9BEB-40BC-BFA6-FEAABFD41DC2}"/>
            </a:ext>
          </a:extLst>
        </xdr:cNvPr>
        <xdr:cNvSpPr txBox="1"/>
      </xdr:nvSpPr>
      <xdr:spPr>
        <a:xfrm>
          <a:off x="396128" y="3185016"/>
          <a:ext cx="7119098" cy="1104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This spreadsheet provides preliminary sizing of VarStec’s MotorVAR solution for large medium-voltage motor starting. It models a simplified system, utility source, transformer, and motor bus connected</a:t>
          </a:r>
          <a:r>
            <a:rPr lang="en-US" baseline="0"/>
            <a:t> to the network through a captive transfomer </a:t>
          </a:r>
          <a:r>
            <a:rPr lang="en-US"/>
            <a:t>to determine the reactive power required to meet voltage-performance targets. Inputs include utility short-circuit strength, transformer data, and motor parameters, enabling rapid iteration of the MotorVAR's</a:t>
          </a:r>
          <a:r>
            <a:rPr lang="en-US" baseline="0"/>
            <a:t> reactive power rating </a:t>
          </a:r>
          <a:r>
            <a:rPr lang="en-US"/>
            <a:t>to limit PCC voltage drop (typically to near  ~4% ) while maintaining motor terminal voltage. (typically</a:t>
          </a:r>
          <a:r>
            <a:rPr lang="en-US" baseline="0"/>
            <a:t> to near ~90 ).</a:t>
          </a:r>
          <a:r>
            <a:rPr lang="en-US"/>
            <a:t> </a:t>
          </a:r>
          <a:endParaRPr lang="en-US" sz="1100"/>
        </a:p>
      </xdr:txBody>
    </xdr:sp>
    <xdr:clientData/>
  </xdr:twoCellAnchor>
  <xdr:twoCellAnchor editAs="oneCell">
    <xdr:from>
      <xdr:col>1</xdr:col>
      <xdr:colOff>123826</xdr:colOff>
      <xdr:row>2</xdr:row>
      <xdr:rowOff>38100</xdr:rowOff>
    </xdr:from>
    <xdr:to>
      <xdr:col>12</xdr:col>
      <xdr:colOff>76201</xdr:colOff>
      <xdr:row>6</xdr:row>
      <xdr:rowOff>95250</xdr:rowOff>
    </xdr:to>
    <xdr:pic>
      <xdr:nvPicPr>
        <xdr:cNvPr id="4" name="Picture 3">
          <a:extLst>
            <a:ext uri="{FF2B5EF4-FFF2-40B4-BE49-F238E27FC236}">
              <a16:creationId xmlns:a16="http://schemas.microsoft.com/office/drawing/2014/main" id="{ED44E7EC-7405-41AB-8270-6374AEB0C4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62750</xdr:rowOff>
    </xdr:from>
    <xdr:ext cx="1638301" cy="819151"/>
    <xdr:pic>
      <xdr:nvPicPr>
        <xdr:cNvPr id="5" name="Picture 4">
          <a:extLst>
            <a:ext uri="{FF2B5EF4-FFF2-40B4-BE49-F238E27FC236}">
              <a16:creationId xmlns:a16="http://schemas.microsoft.com/office/drawing/2014/main" id="{4CE9B0FE-DA2A-4B4A-91B9-C5DD5C0B97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286868"/>
          <a:ext cx="1638301" cy="819151"/>
        </a:xfrm>
        <a:prstGeom prst="rect">
          <a:avLst/>
        </a:prstGeom>
      </xdr:spPr>
    </xdr:pic>
    <xdr:clientData/>
  </xdr:oneCellAnchor>
  <xdr:oneCellAnchor>
    <xdr:from>
      <xdr:col>32</xdr:col>
      <xdr:colOff>19049</xdr:colOff>
      <xdr:row>50</xdr:row>
      <xdr:rowOff>62750</xdr:rowOff>
    </xdr:from>
    <xdr:ext cx="1638301" cy="819151"/>
    <xdr:pic>
      <xdr:nvPicPr>
        <xdr:cNvPr id="6" name="Picture 5">
          <a:extLst>
            <a:ext uri="{FF2B5EF4-FFF2-40B4-BE49-F238E27FC236}">
              <a16:creationId xmlns:a16="http://schemas.microsoft.com/office/drawing/2014/main" id="{B5EFE782-05D2-4A80-A506-977A5647A7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6461" y="11268632"/>
          <a:ext cx="1638301" cy="819151"/>
        </a:xfrm>
        <a:prstGeom prst="rect">
          <a:avLst/>
        </a:prstGeom>
      </xdr:spPr>
    </xdr:pic>
    <xdr:clientData/>
  </xdr:oneCellAnchor>
  <xdr:oneCellAnchor>
    <xdr:from>
      <xdr:col>74</xdr:col>
      <xdr:colOff>19049</xdr:colOff>
      <xdr:row>50</xdr:row>
      <xdr:rowOff>62750</xdr:rowOff>
    </xdr:from>
    <xdr:ext cx="1638301" cy="819151"/>
    <xdr:pic>
      <xdr:nvPicPr>
        <xdr:cNvPr id="7" name="Picture 6">
          <a:extLst>
            <a:ext uri="{FF2B5EF4-FFF2-40B4-BE49-F238E27FC236}">
              <a16:creationId xmlns:a16="http://schemas.microsoft.com/office/drawing/2014/main" id="{2B0D20A7-31DA-4247-9031-E148071300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11268632"/>
          <a:ext cx="1638301" cy="819151"/>
        </a:xfrm>
        <a:prstGeom prst="rect">
          <a:avLst/>
        </a:prstGeom>
      </xdr:spPr>
    </xdr:pic>
    <xdr:clientData/>
  </xdr:oneCellAnchor>
  <xdr:oneCellAnchor>
    <xdr:from>
      <xdr:col>32</xdr:col>
      <xdr:colOff>19049</xdr:colOff>
      <xdr:row>99</xdr:row>
      <xdr:rowOff>62750</xdr:rowOff>
    </xdr:from>
    <xdr:ext cx="1638301" cy="819151"/>
    <xdr:pic>
      <xdr:nvPicPr>
        <xdr:cNvPr id="8" name="Picture 7">
          <a:extLst>
            <a:ext uri="{FF2B5EF4-FFF2-40B4-BE49-F238E27FC236}">
              <a16:creationId xmlns:a16="http://schemas.microsoft.com/office/drawing/2014/main" id="{9854114C-6444-4B43-8DC4-F339B73713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6461" y="22250397"/>
          <a:ext cx="1638301" cy="819151"/>
        </a:xfrm>
        <a:prstGeom prst="rect">
          <a:avLst/>
        </a:prstGeom>
      </xdr:spPr>
    </xdr:pic>
    <xdr:clientData/>
  </xdr:oneCellAnchor>
  <xdr:oneCellAnchor>
    <xdr:from>
      <xdr:col>74</xdr:col>
      <xdr:colOff>19049</xdr:colOff>
      <xdr:row>99</xdr:row>
      <xdr:rowOff>62750</xdr:rowOff>
    </xdr:from>
    <xdr:ext cx="1638301" cy="819151"/>
    <xdr:pic>
      <xdr:nvPicPr>
        <xdr:cNvPr id="9" name="Picture 8">
          <a:extLst>
            <a:ext uri="{FF2B5EF4-FFF2-40B4-BE49-F238E27FC236}">
              <a16:creationId xmlns:a16="http://schemas.microsoft.com/office/drawing/2014/main" id="{56F92857-A9E9-4EB8-B09C-D9D9E6F175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22250397"/>
          <a:ext cx="1638301" cy="819151"/>
        </a:xfrm>
        <a:prstGeom prst="rect">
          <a:avLst/>
        </a:prstGeom>
      </xdr:spPr>
    </xdr:pic>
    <xdr:clientData/>
  </xdr:oneCellAnchor>
  <xdr:oneCellAnchor>
    <xdr:from>
      <xdr:col>32</xdr:col>
      <xdr:colOff>19049</xdr:colOff>
      <xdr:row>148</xdr:row>
      <xdr:rowOff>73956</xdr:rowOff>
    </xdr:from>
    <xdr:ext cx="1638301" cy="819151"/>
    <xdr:pic>
      <xdr:nvPicPr>
        <xdr:cNvPr id="10" name="Picture 9">
          <a:extLst>
            <a:ext uri="{FF2B5EF4-FFF2-40B4-BE49-F238E27FC236}">
              <a16:creationId xmlns:a16="http://schemas.microsoft.com/office/drawing/2014/main" id="{20D832D9-2E38-4E45-B758-0B85663457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6461" y="33243368"/>
          <a:ext cx="1638301" cy="819151"/>
        </a:xfrm>
        <a:prstGeom prst="rect">
          <a:avLst/>
        </a:prstGeom>
      </xdr:spPr>
    </xdr:pic>
    <xdr:clientData/>
  </xdr:oneCellAnchor>
  <xdr:oneCellAnchor>
    <xdr:from>
      <xdr:col>74</xdr:col>
      <xdr:colOff>19049</xdr:colOff>
      <xdr:row>148</xdr:row>
      <xdr:rowOff>73956</xdr:rowOff>
    </xdr:from>
    <xdr:ext cx="1638301" cy="819151"/>
    <xdr:pic>
      <xdr:nvPicPr>
        <xdr:cNvPr id="11" name="Picture 10">
          <a:extLst>
            <a:ext uri="{FF2B5EF4-FFF2-40B4-BE49-F238E27FC236}">
              <a16:creationId xmlns:a16="http://schemas.microsoft.com/office/drawing/2014/main" id="{1D45025C-FDA3-484C-BC6D-91A15B18E6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33243368"/>
          <a:ext cx="1638301" cy="819151"/>
        </a:xfrm>
        <a:prstGeom prst="rect">
          <a:avLst/>
        </a:prstGeom>
      </xdr:spPr>
    </xdr:pic>
    <xdr:clientData/>
  </xdr:oneCellAnchor>
  <xdr:twoCellAnchor>
    <xdr:from>
      <xdr:col>1</xdr:col>
      <xdr:colOff>173936</xdr:colOff>
      <xdr:row>64</xdr:row>
      <xdr:rowOff>22412</xdr:rowOff>
    </xdr:from>
    <xdr:to>
      <xdr:col>41</xdr:col>
      <xdr:colOff>0</xdr:colOff>
      <xdr:row>72</xdr:row>
      <xdr:rowOff>201706</xdr:rowOff>
    </xdr:to>
    <xdr:sp macro="" textlink="EY80">
      <xdr:nvSpPr>
        <xdr:cNvPr id="12" name="TextBox 11">
          <a:extLst>
            <a:ext uri="{FF2B5EF4-FFF2-40B4-BE49-F238E27FC236}">
              <a16:creationId xmlns:a16="http://schemas.microsoft.com/office/drawing/2014/main" id="{5EC6587C-AC2F-4072-AC0E-3E850710D7C4}"/>
            </a:ext>
          </a:extLst>
        </xdr:cNvPr>
        <xdr:cNvSpPr txBox="1"/>
      </xdr:nvSpPr>
      <xdr:spPr>
        <a:xfrm>
          <a:off x="354911" y="14652812"/>
          <a:ext cx="7065064" cy="2008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69E0D1C-CD5A-4FF9-AB98-A6997BE0B1AA}" type="TxLink">
            <a:rPr lang="en-US" sz="1050" b="0" i="0" u="none" strike="noStrike">
              <a:solidFill>
                <a:srgbClr val="000000"/>
              </a:solidFill>
              <a:latin typeface="Calibri"/>
              <a:ea typeface="Calibri"/>
              <a:cs typeface="Calibri"/>
            </a:rPr>
            <a:pPr/>
            <a:t>Without MotorVAR assistance, the motor draws approximately 2543 amps (382.4% of FLA) during starting. This results in a voltage drop, with the motor terminal voltage dropping to near 2.35 kV, or 58.8% of rated voltage. Correspondingly, available starting torque drops to approximately 34.6% of rated torque, increasing the risk of stalled or prolonged motor acceleration.
From a system perspective, the voltage at the 34.5 kV PCC drops to near 25.69 kV, or 74.5% of rated voltage and the 12.47 kV secondary bus drops to near 8.86 kV or 71.1% of nominal voltage, representing a voltage sags of near 25.5% and 28.9% respectively. Typical performance objectives call for a voltage of no lower than 90% of nominal at the secondary bus and 96% voltage at the primary. When these objectives are not met, alternate starting means are necessary.
The starting current reflected into the utility system is approximately 307 amps at 34.5 kV, or 382.4% FLA.</a:t>
          </a:fld>
          <a:endParaRPr lang="en-US" sz="1050"/>
        </a:p>
      </xdr:txBody>
    </xdr:sp>
    <xdr:clientData/>
  </xdr:twoCellAnchor>
  <xdr:twoCellAnchor>
    <xdr:from>
      <xdr:col>2</xdr:col>
      <xdr:colOff>8282</xdr:colOff>
      <xdr:row>74</xdr:row>
      <xdr:rowOff>34105</xdr:rowOff>
    </xdr:from>
    <xdr:to>
      <xdr:col>41</xdr:col>
      <xdr:colOff>11206</xdr:colOff>
      <xdr:row>82</xdr:row>
      <xdr:rowOff>57150</xdr:rowOff>
    </xdr:to>
    <xdr:sp macro="" textlink="EY83">
      <xdr:nvSpPr>
        <xdr:cNvPr id="13" name="TextBox 12">
          <a:extLst>
            <a:ext uri="{FF2B5EF4-FFF2-40B4-BE49-F238E27FC236}">
              <a16:creationId xmlns:a16="http://schemas.microsoft.com/office/drawing/2014/main" id="{39BB3587-F5DB-48BE-BCD1-5B2C554716AE}"/>
            </a:ext>
          </a:extLst>
        </xdr:cNvPr>
        <xdr:cNvSpPr txBox="1"/>
      </xdr:nvSpPr>
      <xdr:spPr>
        <a:xfrm>
          <a:off x="370232" y="16950505"/>
          <a:ext cx="7060949" cy="1851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0017DD14-05CC-4DCE-B4C7-487011F40A24}" type="TxLink">
            <a:rPr lang="en-US" sz="1050" b="0" i="0" u="none" strike="noStrike">
              <a:solidFill>
                <a:srgbClr val="000000"/>
              </a:solidFill>
              <a:latin typeface="Calibri"/>
              <a:ea typeface="Calibri"/>
              <a:cs typeface="Calibri"/>
            </a:rPr>
            <a:pPr marL="0" indent="0"/>
            <a:t>With the MotorVAR system engaged, motor starting performance improves substantially. Starting current at the motor terminals is increased to 3962.1 amps (146.8% of FLA), while motor terminal voltage is maintained at near 3.7 kV, or 91.7% of rated voltage. This enables the motor to develop approximately 84% of rated torque at starting, providing stronger acceleration and more stable operation.
System voltage performance is also significantly improved. Voltage at the 34.5kV PCC and the 12.5 kV bus remain at approximately 92.6% and 91.7% of nominal, respectively. The starting current seen by the 34.5 kV and 12.5 kV system are reduced to approximately 146.8 %FLA respective of voltage transformations, greatly mitigating upstream system disturbances. As the system pulls into synchronism, the 3 stage MotorVAR system limits the voltage fluctuations to approximately ±2.2%% of the nominal system voltage at the 12.5kV bus and ±9.92% at the 4.16 kV bus.</a:t>
          </a:fld>
          <a:endParaRPr lang="en-US" sz="1050" b="0" i="0" u="none" strike="noStrike">
            <a:solidFill>
              <a:srgbClr val="000000"/>
            </a:solidFill>
            <a:latin typeface="Calibri"/>
            <a:ea typeface="Calibri"/>
            <a:cs typeface="Calibri"/>
          </a:endParaRPr>
        </a:p>
      </xdr:txBody>
    </xdr:sp>
    <xdr:clientData/>
  </xdr:twoCellAnchor>
  <xdr:twoCellAnchor>
    <xdr:from>
      <xdr:col>2</xdr:col>
      <xdr:colOff>8283</xdr:colOff>
      <xdr:row>83</xdr:row>
      <xdr:rowOff>8768</xdr:rowOff>
    </xdr:from>
    <xdr:to>
      <xdr:col>41</xdr:col>
      <xdr:colOff>11206</xdr:colOff>
      <xdr:row>94</xdr:row>
      <xdr:rowOff>114299</xdr:rowOff>
    </xdr:to>
    <xdr:sp macro="" textlink="">
      <xdr:nvSpPr>
        <xdr:cNvPr id="14" name="TextBox 13">
          <a:extLst>
            <a:ext uri="{FF2B5EF4-FFF2-40B4-BE49-F238E27FC236}">
              <a16:creationId xmlns:a16="http://schemas.microsoft.com/office/drawing/2014/main" id="{1CC95D35-7A3C-4BBE-AFCB-41B7C09A42DA}"/>
            </a:ext>
          </a:extLst>
        </xdr:cNvPr>
        <xdr:cNvSpPr txBox="1"/>
      </xdr:nvSpPr>
      <xdr:spPr>
        <a:xfrm>
          <a:off x="370233" y="18982568"/>
          <a:ext cx="7060948" cy="2620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0"/>
            <a:t>MotorVAR delivers fast, localized reactive power exactly where it’s needed, at the motor bus,</a:t>
          </a:r>
          <a:r>
            <a:rPr lang="en-US" sz="1050" b="0" baseline="0"/>
            <a:t> </a:t>
          </a:r>
          <a:r>
            <a:rPr lang="en-US" sz="1050" b="0"/>
            <a:t>transforming the way large medium-voltage motors are started. By actively supporting </a:t>
          </a:r>
          <a:r>
            <a:rPr lang="en-US" sz="1050"/>
            <a:t>voltage during acceleration, MotorVAR mitigates voltage sags, improves power quality, and preserves starting torque, enabling the use of simp le across-the-line starters without compromising system performance or plant voltage stability.</a:t>
          </a:r>
          <a:br>
            <a:rPr lang="en-US" sz="1050"/>
          </a:br>
          <a:endParaRPr lang="en-US" sz="1050"/>
        </a:p>
        <a:p>
          <a:r>
            <a:rPr lang="en-US" sz="1050"/>
            <a:t>The MotorVAR system seamlessly coordinates a conventional motor starter with a smart, high-speed switched capacitor bank that is transient-free during both energization and de-energization. This approach eliminates the complexity, footprint, and operational burden typically associated with ASD/VFD solutions, synchronous bypass switchgear, E-house requirements, and the extended startup, commissioning, and lifecycle costs that accompany those systems.</a:t>
          </a:r>
        </a:p>
        <a:p>
          <a:endParaRPr lang="en-US" sz="1050"/>
        </a:p>
        <a:p>
          <a:r>
            <a:rPr lang="en-US" sz="1050"/>
            <a:t>A single MotorVAR installation can support multiple large motors on the same electrical system, often eliminating the need for dedicated starting equipment on each motor. Shared or cross-tie starting configurations can further enhance project economics. The result is a robust, practical motor-starting solution that minimizes system disturbance while dramatically reducing project complexity, cost, and risk.</a:t>
          </a:r>
        </a:p>
      </xdr:txBody>
    </xdr:sp>
    <xdr:clientData/>
  </xdr:twoCellAnchor>
  <xdr:twoCellAnchor>
    <xdr:from>
      <xdr:col>1</xdr:col>
      <xdr:colOff>176859</xdr:colOff>
      <xdr:row>56</xdr:row>
      <xdr:rowOff>0</xdr:rowOff>
    </xdr:from>
    <xdr:to>
      <xdr:col>41</xdr:col>
      <xdr:colOff>19489</xdr:colOff>
      <xdr:row>63</xdr:row>
      <xdr:rowOff>22411</xdr:rowOff>
    </xdr:to>
    <xdr:sp macro="" textlink="EY77">
      <xdr:nvSpPr>
        <xdr:cNvPr id="15" name="TextBox 14">
          <a:extLst>
            <a:ext uri="{FF2B5EF4-FFF2-40B4-BE49-F238E27FC236}">
              <a16:creationId xmlns:a16="http://schemas.microsoft.com/office/drawing/2014/main" id="{7CFDDFE0-B4FC-43EC-84B0-730E33599E84}"/>
            </a:ext>
          </a:extLst>
        </xdr:cNvPr>
        <xdr:cNvSpPr txBox="1"/>
      </xdr:nvSpPr>
      <xdr:spPr>
        <a:xfrm>
          <a:off x="357834" y="12801600"/>
          <a:ext cx="7081630" cy="1622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BBC6D6E-3828-4444-8C0F-5E14EE0C55C1}" type="TxLink">
            <a:rPr lang="en-US" sz="1050" b="0" i="0" u="none" strike="noStrike">
              <a:solidFill>
                <a:srgbClr val="000000"/>
              </a:solidFill>
              <a:latin typeface="Calibri"/>
              <a:ea typeface="Calibri"/>
              <a:cs typeface="Calibri"/>
            </a:rPr>
            <a:pPr/>
            <a:t>Based on the data provided, this analysis evaluates the starting performance of a 5,000 HP, 4 kV motor connected to a utility system with a 34.5 kV point of common coupling (PCC). The motor is connected to a captive transformer having a primary voltage of 12.47kV and secondary voltage rating of 4.16kV from a 34.5/12.47 step-down transformer. The utility short-circuit level at the PCC is 1.2 kA (3-phase) with an X/R ratio of 7, supplying the motor through a 40 MVA, 34.5 kV–12.47 kV step-down transformer with 7.5% leakage impedance.
The motor has a full-load current (FLA) of 665 amps, a locked-rotor current (LRA) of 650% FLA, and a rated efficiency of 90% and power factor of 90%. To support motor starting, a MotorVAR system rated at 25 MVAR at 4kV, configured in 3 stages, is applied at the motor bus.</a:t>
          </a:fld>
          <a:endParaRPr lang="en-US" sz="1050"/>
        </a:p>
      </xdr:txBody>
    </xdr:sp>
    <xdr:clientData/>
  </xdr:twoCellAnchor>
  <xdr:twoCellAnchor>
    <xdr:from>
      <xdr:col>2</xdr:col>
      <xdr:colOff>65635</xdr:colOff>
      <xdr:row>104</xdr:row>
      <xdr:rowOff>23734</xdr:rowOff>
    </xdr:from>
    <xdr:to>
      <xdr:col>40</xdr:col>
      <xdr:colOff>122465</xdr:colOff>
      <xdr:row>122</xdr:row>
      <xdr:rowOff>108857</xdr:rowOff>
    </xdr:to>
    <xdr:graphicFrame macro="">
      <xdr:nvGraphicFramePr>
        <xdr:cNvPr id="17" name="Chart 16">
          <a:extLst>
            <a:ext uri="{FF2B5EF4-FFF2-40B4-BE49-F238E27FC236}">
              <a16:creationId xmlns:a16="http://schemas.microsoft.com/office/drawing/2014/main" id="{934F1F71-AD61-4CA5-8126-7D51BFB746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23</xdr:col>
      <xdr:colOff>33617</xdr:colOff>
      <xdr:row>21</xdr:row>
      <xdr:rowOff>78441</xdr:rowOff>
    </xdr:from>
    <xdr:to>
      <xdr:col>39</xdr:col>
      <xdr:colOff>56030</xdr:colOff>
      <xdr:row>45</xdr:row>
      <xdr:rowOff>219024</xdr:rowOff>
    </xdr:to>
    <xdr:pic>
      <xdr:nvPicPr>
        <xdr:cNvPr id="18" name="Graphic 17">
          <a:extLst>
            <a:ext uri="{FF2B5EF4-FFF2-40B4-BE49-F238E27FC236}">
              <a16:creationId xmlns:a16="http://schemas.microsoft.com/office/drawing/2014/main" id="{5EC89285-47C9-777B-B432-6A5FFD54E168}"/>
            </a:ext>
          </a:extLst>
        </xdr:cNvPr>
        <xdr:cNvPicPr>
          <a:picLocks noChangeAspect="1"/>
        </xdr:cNvPicPr>
      </xdr:nvPicPr>
      <xdr:blipFill rotWithShape="1">
        <a:blip xmlns:r="http://schemas.openxmlformats.org/officeDocument/2006/relationships" r:embed="rId4">
          <a:extLst>
            <a:ext uri="{96DAC541-7B7A-43D3-8B79-37D633B846F1}">
              <asvg:svgBlip xmlns:asvg="http://schemas.microsoft.com/office/drawing/2016/SVG/main" r:embed="rId5"/>
            </a:ext>
          </a:extLst>
        </a:blip>
        <a:srcRect l="24922" t="11789" r="23703" b="11382"/>
        <a:stretch>
          <a:fillRect/>
        </a:stretch>
      </xdr:blipFill>
      <xdr:spPr>
        <a:xfrm>
          <a:off x="4157382" y="4784912"/>
          <a:ext cx="2891119" cy="5519406"/>
        </a:xfrm>
        <a:prstGeom prst="rect">
          <a:avLst/>
        </a:prstGeom>
      </xdr:spPr>
    </xdr:pic>
    <xdr:clientData/>
  </xdr:twoCellAnchor>
  <xdr:twoCellAnchor>
    <xdr:from>
      <xdr:col>43</xdr:col>
      <xdr:colOff>100853</xdr:colOff>
      <xdr:row>107</xdr:row>
      <xdr:rowOff>78441</xdr:rowOff>
    </xdr:from>
    <xdr:to>
      <xdr:col>83</xdr:col>
      <xdr:colOff>44823</xdr:colOff>
      <xdr:row>144</xdr:row>
      <xdr:rowOff>11206</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507D28B8-0419-4C5C-CBDF-BB6691CB99E7}"/>
                </a:ext>
              </a:extLst>
            </xdr:cNvPr>
            <xdr:cNvSpPr txBox="1"/>
          </xdr:nvSpPr>
          <xdr:spPr>
            <a:xfrm>
              <a:off x="7810500" y="24059029"/>
              <a:ext cx="7115735" cy="82251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spreadsheet implements a steady-state impedance-based model to estimate motor starting current, voltage sag, and available starting torque for a medium-voltage motor starting through a captive transformer. All calculations are performed using complex impedances and phasor relationships and are converted to three-phase quantities where required.</a:t>
              </a:r>
            </a:p>
            <a:p>
              <a:r>
                <a:rPr lang="en-US" sz="1100">
                  <a:solidFill>
                    <a:schemeClr val="dk1"/>
                  </a:solidFill>
                  <a:effectLst/>
                  <a:latin typeface="+mn-lt"/>
                  <a:ea typeface="+mn-ea"/>
                  <a:cs typeface="+mn-cs"/>
                </a:rPr>
                <a:t>The modeled system consists of a utility source at the point of common coupling (PCC), source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oMath>
              </a14:m>
              <a:r>
                <a:rPr lang="en-US" sz="1100">
                  <a:solidFill>
                    <a:schemeClr val="dk1"/>
                  </a:solidFill>
                  <a:effectLst/>
                  <a:latin typeface="+mn-lt"/>
                  <a:ea typeface="+mn-ea"/>
                  <a:cs typeface="+mn-cs"/>
                </a:rPr>
                <a:t>, a step-down transformer with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𝑇</m:t>
                      </m:r>
                    </m:sub>
                  </m:sSub>
                </m:oMath>
              </a14:m>
              <a:r>
                <a:rPr lang="en-US" sz="1100">
                  <a:solidFill>
                    <a:schemeClr val="dk1"/>
                  </a:solidFill>
                  <a:effectLst/>
                  <a:latin typeface="+mn-lt"/>
                  <a:ea typeface="+mn-ea"/>
                  <a:cs typeface="+mn-cs"/>
                </a:rPr>
                <a:t>, a motor bus, a captive transformer represented by its equivalent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oMath>
              </a14:m>
              <a:r>
                <a:rPr lang="en-US" sz="1100">
                  <a:solidFill>
                    <a:schemeClr val="dk1"/>
                  </a:solidFill>
                  <a:effectLst/>
                  <a:latin typeface="+mn-lt"/>
                  <a:ea typeface="+mn-ea"/>
                  <a:cs typeface="+mn-cs"/>
                </a:rPr>
                <a:t>, and an induction motor represented by its locked-rotor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a14:m>
              <a:r>
                <a:rPr lang="en-US" sz="1100">
                  <a:solidFill>
                    <a:schemeClr val="dk1"/>
                  </a:solidFill>
                  <a:effectLst/>
                  <a:latin typeface="+mn-lt"/>
                  <a:ea typeface="+mn-ea"/>
                  <a:cs typeface="+mn-cs"/>
                </a:rPr>
                <a:t>. The MotorVAR solution is integrated within the captive transformer configuration to provide local reactive power support at the motor bus. No additional line or cable impedance between elements is assumed. The motor rated voltage may differ from the transformer secondary or motor bus voltage.</a:t>
              </a:r>
            </a:p>
            <a:p>
              <a:r>
                <a:rPr lang="en-US" sz="1100">
                  <a:solidFill>
                    <a:schemeClr val="dk1"/>
                  </a:solidFill>
                  <a:effectLst/>
                  <a:latin typeface="+mn-lt"/>
                  <a:ea typeface="+mn-ea"/>
                  <a:cs typeface="+mn-cs"/>
                </a:rPr>
                <a:t>Complex impedances are expressed as: </a:t>
              </a:r>
              <a14:m>
                <m:oMath xmlns:m="http://schemas.openxmlformats.org/officeDocument/2006/math">
                  <m:r>
                    <a:rPr lang="en-US" sz="1100" i="1">
                      <a:solidFill>
                        <a:schemeClr val="dk1"/>
                      </a:solidFill>
                      <a:effectLst/>
                      <a:latin typeface="Cambria Math" panose="02040503050406030204" pitchFamily="18" charset="0"/>
                      <a:ea typeface="+mn-ea"/>
                      <a:cs typeface="+mn-cs"/>
                    </a:rPr>
                    <m:t>𝑍</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𝑅</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𝑗𝑋</m:t>
                  </m:r>
                </m:oMath>
              </a14:m>
              <a:r>
                <a:rPr lang="en-US" sz="1100">
                  <a:solidFill>
                    <a:schemeClr val="dk1"/>
                  </a:solidFill>
                  <a:effectLst/>
                  <a:latin typeface="+mn-lt"/>
                  <a:ea typeface="+mn-ea"/>
                  <a:cs typeface="+mn-cs"/>
                </a:rPr>
                <a:t>.  Line-to-line and phase voltages are related by: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𝐿𝐿</m:t>
                          </m:r>
                        </m:sub>
                      </m:sSub>
                    </m:num>
                    <m:den>
                      <m:rad>
                        <m:radPr>
                          <m:degHide m:val="on"/>
                          <m:ctrlPr>
                            <a:rPr lang="en-US" sz="1100" i="1">
                              <a:solidFill>
                                <a:schemeClr val="dk1"/>
                              </a:solidFill>
                              <a:effectLst/>
                              <a:latin typeface="Cambria Math" panose="02040503050406030204" pitchFamily="18" charset="0"/>
                              <a:ea typeface="+mn-ea"/>
                              <a:cs typeface="+mn-cs"/>
                            </a:rPr>
                          </m:ctrlPr>
                        </m:radPr>
                        <m:deg/>
                        <m:e>
                          <m:r>
                            <a:rPr lang="en-US" sz="1100" i="1">
                              <a:solidFill>
                                <a:schemeClr val="dk1"/>
                              </a:solidFill>
                              <a:effectLst/>
                              <a:latin typeface="Cambria Math" panose="02040503050406030204" pitchFamily="18" charset="0"/>
                              <a:ea typeface="+mn-ea"/>
                              <a:cs typeface="+mn-cs"/>
                            </a:rPr>
                            <m:t>3</m:t>
                          </m:r>
                        </m:e>
                      </m:rad>
                    </m:den>
                  </m:f>
                </m:oMath>
              </a14:m>
              <a:r>
                <a:rPr lang="en-US" sz="1100">
                  <a:solidFill>
                    <a:schemeClr val="dk1"/>
                  </a:solidFill>
                  <a:effectLst/>
                  <a:latin typeface="+mn-lt"/>
                  <a:ea typeface="+mn-ea"/>
                  <a:cs typeface="+mn-cs"/>
                </a:rPr>
                <a:t>.  The total upstream impedance from the PCC to the motor bus is defined as: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𝑇</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oMath>
              </a14:m>
              <a:r>
                <a:rPr lang="en-US" sz="1100">
                  <a:solidFill>
                    <a:schemeClr val="dk1"/>
                  </a:solidFill>
                  <a:effectLst/>
                  <a:latin typeface="+mn-lt"/>
                  <a:ea typeface="+mn-ea"/>
                  <a:cs typeface="+mn-cs"/>
                </a:rPr>
                <a:t>. </a:t>
              </a:r>
            </a:p>
            <a:p>
              <a:br>
                <a:rPr lang="en-US" sz="1100">
                  <a:solidFill>
                    <a:schemeClr val="dk1"/>
                  </a:solidFill>
                  <a:effectLst/>
                  <a:latin typeface="+mn-lt"/>
                  <a:ea typeface="+mn-ea"/>
                  <a:cs typeface="+mn-cs"/>
                </a:rPr>
              </a:br>
              <a:r>
                <a:rPr lang="en-US" sz="1100">
                  <a:solidFill>
                    <a:schemeClr val="dk1"/>
                  </a:solidFill>
                  <a:effectLst/>
                  <a:latin typeface="+mn-lt"/>
                  <a:ea typeface="+mn-ea"/>
                  <a:cs typeface="+mn-cs"/>
                </a:rPr>
                <a:t>Motor starting torque is approximated using the square-law voltage relationship:</a:t>
              </a:r>
            </a:p>
            <a:p>
              <a:pPr algn="ctr"/>
              <a:br>
                <a:rPr lang="en-US" sz="1100">
                  <a:solidFill>
                    <a:schemeClr val="dk1"/>
                  </a:solidFill>
                  <a:effectLst/>
                  <a:latin typeface="+mn-lt"/>
                  <a:ea typeface="+mn-ea"/>
                  <a:cs typeface="+mn-cs"/>
                </a:rPr>
              </a:br>
              <a:r>
                <a:rPr lang="en-US" sz="1100">
                  <a:solidFill>
                    <a:schemeClr val="dk1"/>
                  </a:solidFill>
                  <a:effectLst/>
                  <a:latin typeface="+mn-lt"/>
                  <a:ea typeface="+mn-ea"/>
                  <a:cs typeface="+mn-cs"/>
                </a:rPr>
                <a:t>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𝑇</m:t>
                      </m:r>
                    </m:e>
                    <m:sub>
                      <m:r>
                        <a:rPr lang="en-US" sz="1100" i="1">
                          <a:solidFill>
                            <a:schemeClr val="dk1"/>
                          </a:solidFill>
                          <a:effectLst/>
                          <a:latin typeface="Cambria Math" panose="02040503050406030204" pitchFamily="18" charset="0"/>
                          <a:ea typeface="+mn-ea"/>
                          <a:cs typeface="+mn-cs"/>
                        </a:rPr>
                        <m:t>𝑠𝑡𝑎𝑟𝑡</m:t>
                      </m:r>
                      <m:r>
                        <a:rPr lang="en-US" sz="1100" i="1">
                          <a:solidFill>
                            <a:schemeClr val="dk1"/>
                          </a:solidFill>
                          <a:effectLst/>
                          <a:latin typeface="Cambria Math" panose="02040503050406030204" pitchFamily="18" charset="0"/>
                          <a:ea typeface="+mn-ea"/>
                          <a:cs typeface="+mn-cs"/>
                        </a:rPr>
                        <m:t>,</m:t>
                      </m:r>
                      <m:r>
                        <a:rPr lang="en-US" sz="1100">
                          <a:solidFill>
                            <a:schemeClr val="dk1"/>
                          </a:solidFill>
                          <a:effectLst/>
                          <a:latin typeface="Cambria Math" panose="02040503050406030204" pitchFamily="18" charset="0"/>
                          <a:ea typeface="+mn-ea"/>
                          <a:cs typeface="+mn-cs"/>
                        </a:rPr>
                        <m:t>%</m:t>
                      </m:r>
                    </m:sub>
                  </m:sSub>
                  <m:r>
                    <a:rPr lang="en-US" sz="1100" i="1">
                      <a:solidFill>
                        <a:schemeClr val="dk1"/>
                      </a:solidFill>
                      <a:effectLst/>
                      <a:latin typeface="Cambria Math" panose="02040503050406030204" pitchFamily="18" charset="0"/>
                      <a:ea typeface="+mn-ea"/>
                      <a:cs typeface="+mn-cs"/>
                    </a:rPr>
                    <m:t>≈100</m:t>
                  </m:r>
                  <m:r>
                    <a:rPr lang="en-US" sz="1100">
                      <a:solidFill>
                        <a:schemeClr val="dk1"/>
                      </a:solidFill>
                      <a:effectLst/>
                      <a:latin typeface="Cambria Math" panose="02040503050406030204" pitchFamily="18" charset="0"/>
                      <a:ea typeface="+mn-ea"/>
                      <a:cs typeface="+mn-cs"/>
                    </a:rPr>
                    <m:t>%</m:t>
                  </m:r>
                  <m:sSup>
                    <m:sSupPr>
                      <m:ctrlPr>
                        <a:rPr lang="en-US" sz="1100" i="1">
                          <a:solidFill>
                            <a:schemeClr val="dk1"/>
                          </a:solidFill>
                          <a:effectLst/>
                          <a:latin typeface="Cambria Math" panose="02040503050406030204" pitchFamily="18" charset="0"/>
                          <a:ea typeface="+mn-ea"/>
                          <a:cs typeface="+mn-cs"/>
                        </a:rPr>
                      </m:ctrlPr>
                    </m:sSupPr>
                    <m:e>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r>
                                <a:rPr lang="en-US" sz="1100">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𝐿𝐿</m:t>
                                  </m:r>
                                </m:sub>
                              </m:sSub>
                              <m:r>
                                <a:rPr lang="en-US" sz="1100">
                                  <a:solidFill>
                                    <a:schemeClr val="dk1"/>
                                  </a:solidFill>
                                  <a:effectLst/>
                                  <a:latin typeface="Cambria Math" panose="02040503050406030204" pitchFamily="18" charset="0"/>
                                  <a:ea typeface="+mn-ea"/>
                                  <a:cs typeface="+mn-cs"/>
                                </a:rPr>
                                <m:t>∣</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𝑟𝑎𝑡𝑒𝑑</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𝐿𝐿</m:t>
                                  </m:r>
                                </m:sub>
                              </m:sSub>
                            </m:den>
                          </m:f>
                        </m:e>
                      </m:d>
                    </m:e>
                    <m:sup>
                      <m:r>
                        <a:rPr lang="en-US" sz="1100" i="1">
                          <a:solidFill>
                            <a:schemeClr val="dk1"/>
                          </a:solidFill>
                          <a:effectLst/>
                          <a:latin typeface="Cambria Math" panose="02040503050406030204" pitchFamily="18" charset="0"/>
                          <a:ea typeface="+mn-ea"/>
                          <a:cs typeface="+mn-cs"/>
                        </a:rPr>
                        <m:t>2</m:t>
                      </m:r>
                    </m:sup>
                  </m:sSup>
                </m:oMath>
              </a14:m>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Baseline Case (No MotorVAR Support)</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In the baseline configuration, the motor is supplied through the source, step-down transformer, and captive transformer impedances without reactive power support. The equivalent load impedance is:</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pPr/>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m:oMathPara>
              </a14:m>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System and motor current are:</a:t>
              </a:r>
            </a:p>
            <a:p>
              <a:pPr/>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𝑃𝐶𝐶</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𝑇</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den>
                    </m:f>
                  </m:oMath>
                </m:oMathPara>
              </a14:m>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Motor bus and motor terminal voltage are:</a:t>
              </a:r>
            </a:p>
            <a:p>
              <a:endParaRPr lang="en-US" sz="1100">
                <a:solidFill>
                  <a:schemeClr val="dk1"/>
                </a:solidFill>
                <a:effectLst/>
                <a:latin typeface="+mn-lt"/>
                <a:ea typeface="+mn-ea"/>
                <a:cs typeface="+mn-cs"/>
              </a:endParaRPr>
            </a:p>
            <a:p>
              <a:pPr/>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m:oMathPara>
              </a14:m>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Primary voltage at the PCC is calculated by:</a:t>
              </a:r>
            </a:p>
            <a:p>
              <a:endParaRPr lang="en-US" sz="1100">
                <a:solidFill>
                  <a:schemeClr val="dk1"/>
                </a:solidFill>
                <a:effectLst/>
                <a:latin typeface="+mn-lt"/>
                <a:ea typeface="+mn-ea"/>
                <a:cs typeface="+mn-cs"/>
              </a:endParaRPr>
            </a:p>
            <a:p>
              <a:pPr/>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𝑃𝐶𝐶</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𝑃𝐶𝐶</m:t>
                        </m:r>
                      </m:sub>
                    </m:sSub>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oMath>
                </m:oMathPara>
              </a14:m>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case establishes baseline inrush current, PCC voltage sag, motor bus voltage, and starting torque.</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MotorVAR-Assisted Start with Capacitive Transformer</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In the MotorVAR-assisted configuration, the captive transformer provides reactive power support to the motor bus, reducing current drawn from the upstream system and improving voltage performance during motor starting.</a:t>
              </a:r>
            </a:p>
            <a:p>
              <a:r>
                <a:rPr lang="en-US" sz="1100">
                  <a:solidFill>
                    <a:schemeClr val="dk1"/>
                  </a:solidFill>
                  <a:effectLst/>
                  <a:latin typeface="+mn-lt"/>
                  <a:ea typeface="+mn-ea"/>
                  <a:cs typeface="+mn-cs"/>
                </a:rPr>
                <a:t>The captive transformer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oMath>
              </a14:m>
              <a:r>
                <a:rPr lang="en-US" sz="1100">
                  <a:solidFill>
                    <a:schemeClr val="dk1"/>
                  </a:solidFill>
                  <a:effectLst/>
                  <a:latin typeface="+mn-lt"/>
                  <a:ea typeface="+mn-ea"/>
                  <a:cs typeface="+mn-cs"/>
                </a:rPr>
                <a:t>is treated as part of the upstream network supplying the motor, and the effective system impedance remains:</a:t>
              </a:r>
            </a:p>
            <a:p>
              <a:pPr/>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𝑇</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oMath>
                </m:oMathPara>
              </a14:m>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System and motor current are:</a:t>
              </a:r>
            </a:p>
            <a:p>
              <a:pPr/>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𝑃𝐶𝐶</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den>
                    </m:f>
                  </m:oMath>
                </m:oMathPara>
              </a14:m>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endParaRPr lang="en-US" sz="1100"/>
            </a:p>
          </xdr:txBody>
        </xdr:sp>
      </mc:Choice>
      <mc:Fallback xmlns="">
        <xdr:sp macro="" textlink="">
          <xdr:nvSpPr>
            <xdr:cNvPr id="3" name="TextBox 2">
              <a:extLst>
                <a:ext uri="{FF2B5EF4-FFF2-40B4-BE49-F238E27FC236}">
                  <a16:creationId xmlns:a16="http://schemas.microsoft.com/office/drawing/2014/main" id="{507D28B8-0419-4C5C-CBDF-BB6691CB99E7}"/>
                </a:ext>
              </a:extLst>
            </xdr:cNvPr>
            <xdr:cNvSpPr txBox="1"/>
          </xdr:nvSpPr>
          <xdr:spPr>
            <a:xfrm>
              <a:off x="7810500" y="24059029"/>
              <a:ext cx="7115735" cy="82251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spreadsheet implements a steady-state impedance-based model to estimate motor starting current, voltage sag, and available starting torque for a medium-voltage motor starting through a captive transformer. All calculations are performed using complex impedances and phasor relationships and are converted to three-phase quantities where required.</a:t>
              </a:r>
            </a:p>
            <a:p>
              <a:r>
                <a:rPr lang="en-US" sz="1100">
                  <a:solidFill>
                    <a:schemeClr val="dk1"/>
                  </a:solidFill>
                  <a:effectLst/>
                  <a:latin typeface="+mn-lt"/>
                  <a:ea typeface="+mn-ea"/>
                  <a:cs typeface="+mn-cs"/>
                </a:rPr>
                <a:t>The modeled system consists of a utility source at the point of common coupling (PCC), source impedance </a:t>
              </a:r>
              <a:r>
                <a:rPr lang="en-US" sz="1100" i="0">
                  <a:solidFill>
                    <a:schemeClr val="dk1"/>
                  </a:solidFill>
                  <a:effectLst/>
                  <a:latin typeface="+mn-lt"/>
                  <a:ea typeface="+mn-ea"/>
                  <a:cs typeface="+mn-cs"/>
                </a:rPr>
                <a:t>𝑍_𝑆</a:t>
              </a:r>
              <a:r>
                <a:rPr lang="en-US" sz="1100">
                  <a:solidFill>
                    <a:schemeClr val="dk1"/>
                  </a:solidFill>
                  <a:effectLst/>
                  <a:latin typeface="+mn-lt"/>
                  <a:ea typeface="+mn-ea"/>
                  <a:cs typeface="+mn-cs"/>
                </a:rPr>
                <a:t>, a step-down transformer with impedance </a:t>
              </a:r>
              <a:r>
                <a:rPr lang="en-US" sz="1100" i="0">
                  <a:solidFill>
                    <a:schemeClr val="dk1"/>
                  </a:solidFill>
                  <a:effectLst/>
                  <a:latin typeface="+mn-lt"/>
                  <a:ea typeface="+mn-ea"/>
                  <a:cs typeface="+mn-cs"/>
                </a:rPr>
                <a:t>𝑍_𝑇</a:t>
              </a:r>
              <a:r>
                <a:rPr lang="en-US" sz="1100">
                  <a:solidFill>
                    <a:schemeClr val="dk1"/>
                  </a:solidFill>
                  <a:effectLst/>
                  <a:latin typeface="+mn-lt"/>
                  <a:ea typeface="+mn-ea"/>
                  <a:cs typeface="+mn-cs"/>
                </a:rPr>
                <a:t>, a motor bus, a captive transformer represented by its equivalent impedance </a:t>
              </a:r>
              <a:r>
                <a:rPr lang="en-US" sz="1100" i="0">
                  <a:solidFill>
                    <a:schemeClr val="dk1"/>
                  </a:solidFill>
                  <a:effectLst/>
                  <a:latin typeface="+mn-lt"/>
                  <a:ea typeface="+mn-ea"/>
                  <a:cs typeface="+mn-cs"/>
                </a:rPr>
                <a:t>𝑍_𝐶</a:t>
              </a:r>
              <a:r>
                <a:rPr lang="en-US" sz="1100">
                  <a:solidFill>
                    <a:schemeClr val="dk1"/>
                  </a:solidFill>
                  <a:effectLst/>
                  <a:latin typeface="+mn-lt"/>
                  <a:ea typeface="+mn-ea"/>
                  <a:cs typeface="+mn-cs"/>
                </a:rPr>
                <a:t>, and an induction motor represented by its locked-rotor impedance </a:t>
              </a:r>
              <a:r>
                <a:rPr lang="en-US" sz="1100" i="0">
                  <a:solidFill>
                    <a:schemeClr val="dk1"/>
                  </a:solidFill>
                  <a:effectLst/>
                  <a:latin typeface="+mn-lt"/>
                  <a:ea typeface="+mn-ea"/>
                  <a:cs typeface="+mn-cs"/>
                </a:rPr>
                <a:t>𝑍_𝑀</a:t>
              </a:r>
              <a:r>
                <a:rPr lang="en-US" sz="1100">
                  <a:solidFill>
                    <a:schemeClr val="dk1"/>
                  </a:solidFill>
                  <a:effectLst/>
                  <a:latin typeface="+mn-lt"/>
                  <a:ea typeface="+mn-ea"/>
                  <a:cs typeface="+mn-cs"/>
                </a:rPr>
                <a:t>. The MotorVAR solution is integrated within the captive transformer configuration to provide local reactive power support at the motor bus. No additional line or cable impedance between elements is assumed. The motor rated voltage may differ from the transformer secondary or motor bus voltage.</a:t>
              </a:r>
            </a:p>
            <a:p>
              <a:r>
                <a:rPr lang="en-US" sz="1100">
                  <a:solidFill>
                    <a:schemeClr val="dk1"/>
                  </a:solidFill>
                  <a:effectLst/>
                  <a:latin typeface="+mn-lt"/>
                  <a:ea typeface="+mn-ea"/>
                  <a:cs typeface="+mn-cs"/>
                </a:rPr>
                <a:t>Complex impedances are expressed as: </a:t>
              </a:r>
              <a:r>
                <a:rPr lang="en-US" sz="1100" i="0">
                  <a:solidFill>
                    <a:schemeClr val="dk1"/>
                  </a:solidFill>
                  <a:effectLst/>
                  <a:latin typeface="+mn-lt"/>
                  <a:ea typeface="+mn-ea"/>
                  <a:cs typeface="+mn-cs"/>
                </a:rPr>
                <a:t>𝑍=𝑅+𝑗𝑋</a:t>
              </a:r>
              <a:r>
                <a:rPr lang="en-US" sz="1100">
                  <a:solidFill>
                    <a:schemeClr val="dk1"/>
                  </a:solidFill>
                  <a:effectLst/>
                  <a:latin typeface="+mn-lt"/>
                  <a:ea typeface="+mn-ea"/>
                  <a:cs typeface="+mn-cs"/>
                </a:rPr>
                <a:t>.  Line-to-line and phase voltages are related by: </a:t>
              </a:r>
              <a:r>
                <a:rPr lang="en-US" sz="1100" i="0">
                  <a:solidFill>
                    <a:schemeClr val="dk1"/>
                  </a:solidFill>
                  <a:effectLst/>
                  <a:latin typeface="+mn-lt"/>
                  <a:ea typeface="+mn-ea"/>
                  <a:cs typeface="+mn-cs"/>
                </a:rPr>
                <a:t>𝑉_𝑝ℎ=𝑉_𝐿𝐿/√3</a:t>
              </a:r>
              <a:r>
                <a:rPr lang="en-US" sz="1100">
                  <a:solidFill>
                    <a:schemeClr val="dk1"/>
                  </a:solidFill>
                  <a:effectLst/>
                  <a:latin typeface="+mn-lt"/>
                  <a:ea typeface="+mn-ea"/>
                  <a:cs typeface="+mn-cs"/>
                </a:rPr>
                <a:t>.  The total upstream impedance from the PCC to the motor bus is defined as: </a:t>
              </a:r>
              <a:r>
                <a:rPr lang="en-US" sz="1100" i="0">
                  <a:solidFill>
                    <a:schemeClr val="dk1"/>
                  </a:solidFill>
                  <a:effectLst/>
                  <a:latin typeface="+mn-lt"/>
                  <a:ea typeface="+mn-ea"/>
                  <a:cs typeface="+mn-cs"/>
                </a:rPr>
                <a:t>𝑍_𝑢𝑝=𝑍_𝑆+𝑍_𝑇+𝑍_𝐶</a:t>
              </a:r>
              <a:r>
                <a:rPr lang="en-US" sz="1100">
                  <a:solidFill>
                    <a:schemeClr val="dk1"/>
                  </a:solidFill>
                  <a:effectLst/>
                  <a:latin typeface="+mn-lt"/>
                  <a:ea typeface="+mn-ea"/>
                  <a:cs typeface="+mn-cs"/>
                </a:rPr>
                <a:t>. </a:t>
              </a:r>
            </a:p>
            <a:p>
              <a:br>
                <a:rPr lang="en-US" sz="1100">
                  <a:solidFill>
                    <a:schemeClr val="dk1"/>
                  </a:solidFill>
                  <a:effectLst/>
                  <a:latin typeface="+mn-lt"/>
                  <a:ea typeface="+mn-ea"/>
                  <a:cs typeface="+mn-cs"/>
                </a:rPr>
              </a:br>
              <a:r>
                <a:rPr lang="en-US" sz="1100">
                  <a:solidFill>
                    <a:schemeClr val="dk1"/>
                  </a:solidFill>
                  <a:effectLst/>
                  <a:latin typeface="+mn-lt"/>
                  <a:ea typeface="+mn-ea"/>
                  <a:cs typeface="+mn-cs"/>
                </a:rPr>
                <a:t>Motor starting torque is approximated using the square-law voltage relationship:</a:t>
              </a:r>
            </a:p>
            <a:p>
              <a:pPr algn="ctr"/>
              <a:br>
                <a:rPr lang="en-US" sz="1100">
                  <a:solidFill>
                    <a:schemeClr val="dk1"/>
                  </a:solidFill>
                  <a:effectLst/>
                  <a:latin typeface="+mn-lt"/>
                  <a:ea typeface="+mn-ea"/>
                  <a:cs typeface="+mn-cs"/>
                </a:rPr>
              </a:br>
              <a:r>
                <a:rPr lang="en-US" sz="1100">
                  <a:solidFill>
                    <a:schemeClr val="dk1"/>
                  </a:solidFill>
                  <a:effectLst/>
                  <a:latin typeface="+mn-lt"/>
                  <a:ea typeface="+mn-ea"/>
                  <a:cs typeface="+mn-cs"/>
                </a:rPr>
                <a:t> </a:t>
              </a:r>
              <a:r>
                <a:rPr lang="en-US" sz="1100" i="0">
                  <a:solidFill>
                    <a:schemeClr val="dk1"/>
                  </a:solidFill>
                  <a:effectLst/>
                  <a:latin typeface="+mn-lt"/>
                  <a:ea typeface="+mn-ea"/>
                  <a:cs typeface="+mn-cs"/>
                </a:rPr>
                <a:t>𝑇_(𝑠𝑡𝑎𝑟𝑡,%)≈100%((∣𝑉_(𝑀,𝐿𝐿)∣)/𝑉_(𝑀,𝑟𝑎𝑡𝑒𝑑,𝐿𝐿) )^2</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Baseline Case (No MotorVAR Support)</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In the baseline configuration, the motor is supplied through the source, step-down transformer, and captive transformer impedances without reactive power support. The equivalent load impedance is:</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i="0">
                  <a:solidFill>
                    <a:schemeClr val="dk1"/>
                  </a:solidFill>
                  <a:effectLst/>
                  <a:latin typeface="+mn-lt"/>
                  <a:ea typeface="+mn-ea"/>
                  <a:cs typeface="+mn-cs"/>
                </a:rPr>
                <a:t>𝑍_𝑒𝑞=𝑍_𝑀</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System and motor current are:</a:t>
              </a:r>
            </a:p>
            <a:p>
              <a:r>
                <a:rPr lang="en-US" sz="1100" i="0">
                  <a:solidFill>
                    <a:schemeClr val="dk1"/>
                  </a:solidFill>
                  <a:effectLst/>
                  <a:latin typeface="+mn-lt"/>
                  <a:ea typeface="+mn-ea"/>
                  <a:cs typeface="+mn-cs"/>
                </a:rPr>
                <a:t>𝐼_𝑃𝐶𝐶=𝐼_𝑀=𝑉_(𝑠𝑜𝑢𝑟𝑐𝑒,𝑝ℎ)/(𝑍_𝑆+𝑍_𝑇+𝑍_𝐶+𝑍_𝑀 )</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Motor bus and motor terminal voltage are:</a:t>
              </a:r>
            </a:p>
            <a:p>
              <a:endParaRPr lang="en-US" sz="1100">
                <a:solidFill>
                  <a:schemeClr val="dk1"/>
                </a:solidFill>
                <a:effectLst/>
                <a:latin typeface="+mn-lt"/>
                <a:ea typeface="+mn-ea"/>
                <a:cs typeface="+mn-cs"/>
              </a:endParaRPr>
            </a:p>
            <a:p>
              <a:r>
                <a:rPr lang="en-US" sz="1100" i="0">
                  <a:solidFill>
                    <a:schemeClr val="dk1"/>
                  </a:solidFill>
                  <a:effectLst/>
                  <a:latin typeface="+mn-lt"/>
                  <a:ea typeface="+mn-ea"/>
                  <a:cs typeface="+mn-cs"/>
                </a:rPr>
                <a:t>𝑉_(𝑆,𝑝ℎ)=𝑉_(𝑀,𝑝ℎ)=𝐼_𝑀 𝑍_𝑀</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Primary voltage at the PCC is calculated by:</a:t>
              </a:r>
            </a:p>
            <a:p>
              <a:endParaRPr lang="en-US" sz="1100">
                <a:solidFill>
                  <a:schemeClr val="dk1"/>
                </a:solidFill>
                <a:effectLst/>
                <a:latin typeface="+mn-lt"/>
                <a:ea typeface="+mn-ea"/>
                <a:cs typeface="+mn-cs"/>
              </a:endParaRPr>
            </a:p>
            <a:p>
              <a:r>
                <a:rPr lang="en-US" sz="1100" i="0">
                  <a:solidFill>
                    <a:schemeClr val="dk1"/>
                  </a:solidFill>
                  <a:effectLst/>
                  <a:latin typeface="+mn-lt"/>
                  <a:ea typeface="+mn-ea"/>
                  <a:cs typeface="+mn-cs"/>
                </a:rPr>
                <a:t>𝑉_(𝑃𝐶𝐶,𝑝ℎ)=𝑉_(𝑠𝑜𝑢𝑟𝑐𝑒,𝑝ℎ)−𝐼_𝑃𝐶𝐶 𝑍_𝑆</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case establishes baseline inrush current, PCC voltage sag, motor bus voltage, and starting torque.</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MotorVAR-Assisted Start with Capacitive Transformer</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In the MotorVAR-assisted configuration, the captive transformer provides reactive power support to the motor bus, reducing current drawn from the upstream system and improving voltage performance during motor starting.</a:t>
              </a:r>
            </a:p>
            <a:p>
              <a:r>
                <a:rPr lang="en-US" sz="1100">
                  <a:solidFill>
                    <a:schemeClr val="dk1"/>
                  </a:solidFill>
                  <a:effectLst/>
                  <a:latin typeface="+mn-lt"/>
                  <a:ea typeface="+mn-ea"/>
                  <a:cs typeface="+mn-cs"/>
                </a:rPr>
                <a:t>The captive transformer impedance </a:t>
              </a:r>
              <a:r>
                <a:rPr lang="en-US" sz="1100" i="0">
                  <a:solidFill>
                    <a:schemeClr val="dk1"/>
                  </a:solidFill>
                  <a:effectLst/>
                  <a:latin typeface="+mn-lt"/>
                  <a:ea typeface="+mn-ea"/>
                  <a:cs typeface="+mn-cs"/>
                </a:rPr>
                <a:t>𝑍_𝐶</a:t>
              </a:r>
              <a:r>
                <a:rPr lang="en-US" sz="1100">
                  <a:solidFill>
                    <a:schemeClr val="dk1"/>
                  </a:solidFill>
                  <a:effectLst/>
                  <a:latin typeface="+mn-lt"/>
                  <a:ea typeface="+mn-ea"/>
                  <a:cs typeface="+mn-cs"/>
                </a:rPr>
                <a:t>is treated as part of the upstream network supplying the motor, and the effective system impedance remains:</a:t>
              </a:r>
            </a:p>
            <a:p>
              <a:r>
                <a:rPr lang="en-US" sz="1100" i="0">
                  <a:solidFill>
                    <a:schemeClr val="dk1"/>
                  </a:solidFill>
                  <a:effectLst/>
                  <a:latin typeface="+mn-lt"/>
                  <a:ea typeface="+mn-ea"/>
                  <a:cs typeface="+mn-cs"/>
                </a:rPr>
                <a:t>𝑍_𝑢𝑝=𝑍_𝑆+𝑍_𝑇+𝑍_𝐶</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System and motor current are:</a:t>
              </a:r>
            </a:p>
            <a:p>
              <a:r>
                <a:rPr lang="en-US" sz="1100" i="0">
                  <a:solidFill>
                    <a:schemeClr val="dk1"/>
                  </a:solidFill>
                  <a:effectLst/>
                  <a:latin typeface="+mn-lt"/>
                  <a:ea typeface="+mn-ea"/>
                  <a:cs typeface="+mn-cs"/>
                </a:rPr>
                <a:t>𝐼_𝑃𝐶𝐶=𝐼_𝑀=𝑉_(𝑠𝑜𝑢𝑟𝑐𝑒,𝑝ℎ)/(𝑍_𝑢𝑝+𝑍_𝑀 )</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endParaRPr lang="en-US" sz="1100"/>
            </a:p>
          </xdr:txBody>
        </xdr:sp>
      </mc:Fallback>
    </mc:AlternateContent>
    <xdr:clientData/>
  </xdr:twoCellAnchor>
  <xdr:twoCellAnchor>
    <xdr:from>
      <xdr:col>1</xdr:col>
      <xdr:colOff>156882</xdr:colOff>
      <xdr:row>152</xdr:row>
      <xdr:rowOff>212912</xdr:rowOff>
    </xdr:from>
    <xdr:to>
      <xdr:col>40</xdr:col>
      <xdr:colOff>179293</xdr:colOff>
      <xdr:row>163</xdr:row>
      <xdr:rowOff>33618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A9C3C64-8115-5BDB-CB05-03E2B1F2A675}"/>
                </a:ext>
              </a:extLst>
            </xdr:cNvPr>
            <xdr:cNvSpPr txBox="1"/>
          </xdr:nvSpPr>
          <xdr:spPr>
            <a:xfrm>
              <a:off x="336176" y="34278794"/>
              <a:ext cx="7014882" cy="2286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Motor bus and motor terminal voltage are:</a:t>
              </a:r>
              <a:endParaRPr lang="en-US">
                <a:effectLst/>
              </a:endParaRPr>
            </a:p>
            <a:p>
              <a:pPr/>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den>
                    </m:f>
                  </m:oMath>
                </m:oMathPara>
              </a14:m>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Primary voltage at the PCC is:</a:t>
              </a:r>
            </a:p>
            <a:p>
              <a:endParaRPr lang="en-US">
                <a:effectLst/>
              </a:endParaRPr>
            </a:p>
            <a:p>
              <a:pPr/>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𝑃𝐶𝐶</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𝑃𝐶𝐶</m:t>
                        </m:r>
                      </m:sub>
                    </m:sSub>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oMath>
                </m:oMathPara>
              </a14:m>
              <a:br>
                <a:rPr lang="en-US" sz="1100">
                  <a:solidFill>
                    <a:schemeClr val="dk1"/>
                  </a:solidFill>
                  <a:effectLst/>
                  <a:latin typeface="+mn-lt"/>
                  <a:ea typeface="+mn-ea"/>
                  <a:cs typeface="+mn-cs"/>
                </a:rPr>
              </a:b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MotorVAR reactive support can be  iteratively adjusted within the captive transformer design to achieve performance targets, typically limiting PCC voltage drop to approximately 4% while maintaining motor terminal voltage near 90% of rated value during starting. Starting torque is evaluated from the resulting motor terminal voltage using the square-law relationship.</a:t>
              </a:r>
              <a:endParaRPr lang="en-US">
                <a:effectLst/>
              </a:endParaRPr>
            </a:p>
            <a:p>
              <a:endParaRPr lang="en-US" sz="1100"/>
            </a:p>
          </xdr:txBody>
        </xdr:sp>
      </mc:Choice>
      <mc:Fallback xmlns="">
        <xdr:sp macro="" textlink="">
          <xdr:nvSpPr>
            <xdr:cNvPr id="19" name="TextBox 18">
              <a:extLst>
                <a:ext uri="{FF2B5EF4-FFF2-40B4-BE49-F238E27FC236}">
                  <a16:creationId xmlns:a16="http://schemas.microsoft.com/office/drawing/2014/main" id="{CA9C3C64-8115-5BDB-CB05-03E2B1F2A675}"/>
                </a:ext>
              </a:extLst>
            </xdr:cNvPr>
            <xdr:cNvSpPr txBox="1"/>
          </xdr:nvSpPr>
          <xdr:spPr>
            <a:xfrm>
              <a:off x="336176" y="34278794"/>
              <a:ext cx="7014882" cy="2286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Motor bus and motor terminal voltage are:</a:t>
              </a:r>
              <a:endParaRPr lang="en-US">
                <a:effectLst/>
              </a:endParaRPr>
            </a:p>
            <a:p>
              <a:r>
                <a:rPr lang="en-US" sz="1100" i="0">
                  <a:solidFill>
                    <a:schemeClr val="dk1"/>
                  </a:solidFill>
                  <a:effectLst/>
                  <a:latin typeface="+mn-lt"/>
                  <a:ea typeface="+mn-ea"/>
                  <a:cs typeface="+mn-cs"/>
                </a:rPr>
                <a:t>𝑉_(𝑆,𝑝ℎ)=𝑉_(𝑀,𝑝ℎ)=𝑉_(𝑠𝑜𝑢𝑟𝑐𝑒,𝑝ℎ)  𝑍_𝑀/(𝑍_𝑢𝑝+𝑍_𝑀 )</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Primary voltage at the PCC is:</a:t>
              </a:r>
            </a:p>
            <a:p>
              <a:endParaRPr lang="en-US">
                <a:effectLst/>
              </a:endParaRPr>
            </a:p>
            <a:p>
              <a:r>
                <a:rPr lang="en-US" sz="1100" i="0">
                  <a:solidFill>
                    <a:schemeClr val="dk1"/>
                  </a:solidFill>
                  <a:effectLst/>
                  <a:latin typeface="+mn-lt"/>
                  <a:ea typeface="+mn-ea"/>
                  <a:cs typeface="+mn-cs"/>
                </a:rPr>
                <a:t>𝑉_(𝑃𝐶𝐶,𝑝ℎ)=𝑉_(𝑠𝑜𝑢𝑟𝑐𝑒,𝑝ℎ)−𝐼_𝑃𝐶𝐶 𝑍_𝑆</a:t>
              </a:r>
              <a:br>
                <a:rPr lang="en-US" sz="1100">
                  <a:solidFill>
                    <a:schemeClr val="dk1"/>
                  </a:solidFill>
                  <a:effectLst/>
                  <a:latin typeface="+mn-lt"/>
                  <a:ea typeface="+mn-ea"/>
                  <a:cs typeface="+mn-cs"/>
                </a:rPr>
              </a:b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MotorVAR reactive support can be  iteratively adjusted within the captive transformer design to achieve performance targets, typically limiting PCC voltage drop to approximately 4% while maintaining motor terminal voltage near 90% of rated value during starting. Starting torque is evaluated from the resulting motor terminal voltage using the square-law relationship.</a:t>
              </a:r>
              <a:endParaRPr lang="en-US">
                <a:effectLst/>
              </a:endParaRPr>
            </a:p>
            <a:p>
              <a:endParaRPr lang="en-US" sz="1100"/>
            </a:p>
          </xdr:txBody>
        </xdr:sp>
      </mc:Fallback>
    </mc:AlternateContent>
    <xdr:clientData/>
  </xdr:twoCellAnchor>
  <xdr:twoCellAnchor editAs="oneCell">
    <xdr:from>
      <xdr:col>50</xdr:col>
      <xdr:colOff>95249</xdr:colOff>
      <xdr:row>56</xdr:row>
      <xdr:rowOff>136070</xdr:rowOff>
    </xdr:from>
    <xdr:to>
      <xdr:col>74</xdr:col>
      <xdr:colOff>95250</xdr:colOff>
      <xdr:row>92</xdr:row>
      <xdr:rowOff>123280</xdr:rowOff>
    </xdr:to>
    <xdr:pic>
      <xdr:nvPicPr>
        <xdr:cNvPr id="20" name="Graphic 19">
          <a:extLst>
            <a:ext uri="{FF2B5EF4-FFF2-40B4-BE49-F238E27FC236}">
              <a16:creationId xmlns:a16="http://schemas.microsoft.com/office/drawing/2014/main" id="{29D485DF-08C9-4B49-AA5F-EF33319F4351}"/>
            </a:ext>
          </a:extLst>
        </xdr:cNvPr>
        <xdr:cNvPicPr>
          <a:picLocks noChangeAspect="1"/>
        </xdr:cNvPicPr>
      </xdr:nvPicPr>
      <xdr:blipFill rotWithShape="1">
        <a:blip xmlns:r="http://schemas.openxmlformats.org/officeDocument/2006/relationships" r:embed="rId4">
          <a:extLst>
            <a:ext uri="{96DAC541-7B7A-43D3-8B79-37D633B846F1}">
              <asvg:svgBlip xmlns:asvg="http://schemas.microsoft.com/office/drawing/2016/SVG/main" r:embed="rId5"/>
            </a:ext>
          </a:extLst>
        </a:blip>
        <a:srcRect l="26091" t="10691" r="23173" b="11471"/>
        <a:stretch>
          <a:fillRect/>
        </a:stretch>
      </xdr:blipFill>
      <xdr:spPr>
        <a:xfrm>
          <a:off x="8939892" y="13090070"/>
          <a:ext cx="4245429" cy="8314781"/>
        </a:xfrm>
        <a:prstGeom prst="rect">
          <a:avLst/>
        </a:prstGeom>
      </xdr:spPr>
    </xdr:pic>
    <xdr:clientData/>
  </xdr:twoCellAnchor>
  <xdr:twoCellAnchor>
    <xdr:from>
      <xdr:col>30</xdr:col>
      <xdr:colOff>38100</xdr:colOff>
      <xdr:row>41</xdr:row>
      <xdr:rowOff>100693</xdr:rowOff>
    </xdr:from>
    <xdr:to>
      <xdr:col>35</xdr:col>
      <xdr:colOff>96611</xdr:colOff>
      <xdr:row>42</xdr:row>
      <xdr:rowOff>155122</xdr:rowOff>
    </xdr:to>
    <xdr:sp macro="" textlink="">
      <xdr:nvSpPr>
        <xdr:cNvPr id="16" name="TextBox 15">
          <a:extLst>
            <a:ext uri="{FF2B5EF4-FFF2-40B4-BE49-F238E27FC236}">
              <a16:creationId xmlns:a16="http://schemas.microsoft.com/office/drawing/2014/main" id="{FBCB9243-3B32-4854-BD63-4307C1C555BC}"/>
            </a:ext>
          </a:extLst>
        </xdr:cNvPr>
        <xdr:cNvSpPr txBox="1"/>
      </xdr:nvSpPr>
      <xdr:spPr>
        <a:xfrm>
          <a:off x="5467350" y="9473293"/>
          <a:ext cx="963386" cy="28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Controls</a:t>
          </a:r>
        </a:p>
      </xdr:txBody>
    </xdr:sp>
    <xdr:clientData/>
  </xdr:twoCellAnchor>
  <xdr:twoCellAnchor>
    <xdr:from>
      <xdr:col>61</xdr:col>
      <xdr:colOff>28575</xdr:colOff>
      <xdr:row>86</xdr:row>
      <xdr:rowOff>47625</xdr:rowOff>
    </xdr:from>
    <xdr:to>
      <xdr:col>66</xdr:col>
      <xdr:colOff>87086</xdr:colOff>
      <xdr:row>87</xdr:row>
      <xdr:rowOff>102054</xdr:rowOff>
    </xdr:to>
    <xdr:sp macro="" textlink="">
      <xdr:nvSpPr>
        <xdr:cNvPr id="21" name="TextBox 20">
          <a:extLst>
            <a:ext uri="{FF2B5EF4-FFF2-40B4-BE49-F238E27FC236}">
              <a16:creationId xmlns:a16="http://schemas.microsoft.com/office/drawing/2014/main" id="{1DC7695F-CCB2-49F3-A839-AD17B53C20F1}"/>
            </a:ext>
          </a:extLst>
        </xdr:cNvPr>
        <xdr:cNvSpPr txBox="1"/>
      </xdr:nvSpPr>
      <xdr:spPr>
        <a:xfrm>
          <a:off x="11068050" y="19707225"/>
          <a:ext cx="963386" cy="28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Controls</a:t>
          </a:r>
        </a:p>
      </xdr:txBody>
    </xdr:sp>
    <xdr:clientData/>
  </xdr:twoCellAnchor>
  <xdr:twoCellAnchor>
    <xdr:from>
      <xdr:col>21</xdr:col>
      <xdr:colOff>114300</xdr:colOff>
      <xdr:row>28</xdr:row>
      <xdr:rowOff>66675</xdr:rowOff>
    </xdr:from>
    <xdr:to>
      <xdr:col>30</xdr:col>
      <xdr:colOff>0</xdr:colOff>
      <xdr:row>30</xdr:row>
      <xdr:rowOff>190500</xdr:rowOff>
    </xdr:to>
    <xdr:sp macro="" textlink="">
      <xdr:nvSpPr>
        <xdr:cNvPr id="22" name="TextBox 21">
          <a:extLst>
            <a:ext uri="{FF2B5EF4-FFF2-40B4-BE49-F238E27FC236}">
              <a16:creationId xmlns:a16="http://schemas.microsoft.com/office/drawing/2014/main" id="{5BDB9113-1A13-4D1A-B7D9-47613F1A44CD}"/>
            </a:ext>
          </a:extLst>
        </xdr:cNvPr>
        <xdr:cNvSpPr txBox="1"/>
      </xdr:nvSpPr>
      <xdr:spPr>
        <a:xfrm>
          <a:off x="3914775" y="6467475"/>
          <a:ext cx="15144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a:t>Step-Down</a:t>
          </a:r>
          <a:br>
            <a:rPr lang="en-US" sz="1100"/>
          </a:br>
          <a:r>
            <a:rPr lang="en-US" sz="1100"/>
            <a:t>Transformer</a:t>
          </a:r>
        </a:p>
      </xdr:txBody>
    </xdr:sp>
    <xdr:clientData/>
  </xdr:twoCellAnchor>
  <xdr:twoCellAnchor>
    <xdr:from>
      <xdr:col>21</xdr:col>
      <xdr:colOff>142875</xdr:colOff>
      <xdr:row>31</xdr:row>
      <xdr:rowOff>200025</xdr:rowOff>
    </xdr:from>
    <xdr:to>
      <xdr:col>30</xdr:col>
      <xdr:colOff>28575</xdr:colOff>
      <xdr:row>34</xdr:row>
      <xdr:rowOff>95250</xdr:rowOff>
    </xdr:to>
    <xdr:sp macro="" textlink="">
      <xdr:nvSpPr>
        <xdr:cNvPr id="23" name="TextBox 22">
          <a:extLst>
            <a:ext uri="{FF2B5EF4-FFF2-40B4-BE49-F238E27FC236}">
              <a16:creationId xmlns:a16="http://schemas.microsoft.com/office/drawing/2014/main" id="{C54961E3-DD2A-468A-8CEF-417636270007}"/>
            </a:ext>
          </a:extLst>
        </xdr:cNvPr>
        <xdr:cNvSpPr txBox="1"/>
      </xdr:nvSpPr>
      <xdr:spPr>
        <a:xfrm>
          <a:off x="3943350" y="7286625"/>
          <a:ext cx="15144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a:t>Capative</a:t>
          </a:r>
          <a:br>
            <a:rPr lang="en-US" sz="1100"/>
          </a:br>
          <a:r>
            <a:rPr lang="en-US" sz="1100"/>
            <a:t>Transformer</a:t>
          </a:r>
        </a:p>
      </xdr:txBody>
    </xdr:sp>
    <xdr:clientData/>
  </xdr:twoCellAnchor>
  <xdr:twoCellAnchor>
    <xdr:from>
      <xdr:col>51</xdr:col>
      <xdr:colOff>161925</xdr:colOff>
      <xdr:row>67</xdr:row>
      <xdr:rowOff>123825</xdr:rowOff>
    </xdr:from>
    <xdr:to>
      <xdr:col>60</xdr:col>
      <xdr:colOff>47625</xdr:colOff>
      <xdr:row>70</xdr:row>
      <xdr:rowOff>19050</xdr:rowOff>
    </xdr:to>
    <xdr:sp macro="" textlink="">
      <xdr:nvSpPr>
        <xdr:cNvPr id="24" name="TextBox 23">
          <a:extLst>
            <a:ext uri="{FF2B5EF4-FFF2-40B4-BE49-F238E27FC236}">
              <a16:creationId xmlns:a16="http://schemas.microsoft.com/office/drawing/2014/main" id="{00162701-74D6-451E-A897-4D44D8591A14}"/>
            </a:ext>
          </a:extLst>
        </xdr:cNvPr>
        <xdr:cNvSpPr txBox="1"/>
      </xdr:nvSpPr>
      <xdr:spPr>
        <a:xfrm>
          <a:off x="9391650" y="15440025"/>
          <a:ext cx="15144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a:t>Step-Down</a:t>
          </a:r>
          <a:br>
            <a:rPr lang="en-US" sz="1100"/>
          </a:br>
          <a:r>
            <a:rPr lang="en-US" sz="1100"/>
            <a:t>Transformer</a:t>
          </a:r>
        </a:p>
      </xdr:txBody>
    </xdr:sp>
    <xdr:clientData/>
  </xdr:twoCellAnchor>
  <xdr:twoCellAnchor>
    <xdr:from>
      <xdr:col>52</xdr:col>
      <xdr:colOff>9525</xdr:colOff>
      <xdr:row>72</xdr:row>
      <xdr:rowOff>209550</xdr:rowOff>
    </xdr:from>
    <xdr:to>
      <xdr:col>60</xdr:col>
      <xdr:colOff>76200</xdr:colOff>
      <xdr:row>75</xdr:row>
      <xdr:rowOff>104775</xdr:rowOff>
    </xdr:to>
    <xdr:sp macro="" textlink="">
      <xdr:nvSpPr>
        <xdr:cNvPr id="25" name="TextBox 24">
          <a:extLst>
            <a:ext uri="{FF2B5EF4-FFF2-40B4-BE49-F238E27FC236}">
              <a16:creationId xmlns:a16="http://schemas.microsoft.com/office/drawing/2014/main" id="{78C812F2-CDE1-4E7F-8EA5-0F45D2B30BDA}"/>
            </a:ext>
          </a:extLst>
        </xdr:cNvPr>
        <xdr:cNvSpPr txBox="1"/>
      </xdr:nvSpPr>
      <xdr:spPr>
        <a:xfrm>
          <a:off x="9420225" y="16668750"/>
          <a:ext cx="15144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a:t>Capative</a:t>
          </a:r>
          <a:br>
            <a:rPr lang="en-US" sz="1100"/>
          </a:br>
          <a:r>
            <a:rPr lang="en-US" sz="1100"/>
            <a:t>Transformer</a:t>
          </a:r>
        </a:p>
      </xdr:txBody>
    </xdr:sp>
    <xdr:clientData/>
  </xdr:twoCellAnchor>
  <xdr:twoCellAnchor>
    <xdr:from>
      <xdr:col>29</xdr:col>
      <xdr:colOff>19050</xdr:colOff>
      <xdr:row>21</xdr:row>
      <xdr:rowOff>200025</xdr:rowOff>
    </xdr:from>
    <xdr:to>
      <xdr:col>33</xdr:col>
      <xdr:colOff>171450</xdr:colOff>
      <xdr:row>22</xdr:row>
      <xdr:rowOff>190500</xdr:rowOff>
    </xdr:to>
    <xdr:sp macro="" textlink="">
      <xdr:nvSpPr>
        <xdr:cNvPr id="26" name="TextBox 25">
          <a:extLst>
            <a:ext uri="{FF2B5EF4-FFF2-40B4-BE49-F238E27FC236}">
              <a16:creationId xmlns:a16="http://schemas.microsoft.com/office/drawing/2014/main" id="{D230551F-8301-48A3-ABA3-EEE335A26DB2}"/>
            </a:ext>
          </a:extLst>
        </xdr:cNvPr>
        <xdr:cNvSpPr txBox="1"/>
      </xdr:nvSpPr>
      <xdr:spPr>
        <a:xfrm>
          <a:off x="5267325" y="5000625"/>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a:t>Source</a:t>
          </a:r>
        </a:p>
      </xdr:txBody>
    </xdr:sp>
    <xdr:clientData/>
  </xdr:twoCellAnchor>
  <xdr:twoCellAnchor>
    <xdr:from>
      <xdr:col>34</xdr:col>
      <xdr:colOff>47625</xdr:colOff>
      <xdr:row>36</xdr:row>
      <xdr:rowOff>219075</xdr:rowOff>
    </xdr:from>
    <xdr:to>
      <xdr:col>39</xdr:col>
      <xdr:colOff>19050</xdr:colOff>
      <xdr:row>37</xdr:row>
      <xdr:rowOff>209550</xdr:rowOff>
    </xdr:to>
    <xdr:sp macro="" textlink="">
      <xdr:nvSpPr>
        <xdr:cNvPr id="27" name="TextBox 26">
          <a:extLst>
            <a:ext uri="{FF2B5EF4-FFF2-40B4-BE49-F238E27FC236}">
              <a16:creationId xmlns:a16="http://schemas.microsoft.com/office/drawing/2014/main" id="{EC977293-CDFD-43D0-BF84-766D7C61A717}"/>
            </a:ext>
          </a:extLst>
        </xdr:cNvPr>
        <xdr:cNvSpPr txBox="1"/>
      </xdr:nvSpPr>
      <xdr:spPr>
        <a:xfrm>
          <a:off x="6200775" y="8448675"/>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t>M</a:t>
          </a:r>
        </a:p>
      </xdr:txBody>
    </xdr:sp>
    <xdr:clientData/>
  </xdr:twoCellAnchor>
  <xdr:twoCellAnchor>
    <xdr:from>
      <xdr:col>59</xdr:col>
      <xdr:colOff>104775</xdr:colOff>
      <xdr:row>58</xdr:row>
      <xdr:rowOff>19050</xdr:rowOff>
    </xdr:from>
    <xdr:to>
      <xdr:col>64</xdr:col>
      <xdr:colOff>76200</xdr:colOff>
      <xdr:row>59</xdr:row>
      <xdr:rowOff>9525</xdr:rowOff>
    </xdr:to>
    <xdr:sp macro="" textlink="">
      <xdr:nvSpPr>
        <xdr:cNvPr id="28" name="TextBox 27">
          <a:extLst>
            <a:ext uri="{FF2B5EF4-FFF2-40B4-BE49-F238E27FC236}">
              <a16:creationId xmlns:a16="http://schemas.microsoft.com/office/drawing/2014/main" id="{67480916-5192-44FA-8008-F2CFC9530291}"/>
            </a:ext>
          </a:extLst>
        </xdr:cNvPr>
        <xdr:cNvSpPr txBox="1"/>
      </xdr:nvSpPr>
      <xdr:spPr>
        <a:xfrm>
          <a:off x="10782300" y="13277850"/>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Source</a:t>
          </a:r>
        </a:p>
      </xdr:txBody>
    </xdr:sp>
    <xdr:clientData/>
  </xdr:twoCellAnchor>
  <xdr:twoCellAnchor>
    <xdr:from>
      <xdr:col>66</xdr:col>
      <xdr:colOff>104775</xdr:colOff>
      <xdr:row>80</xdr:row>
      <xdr:rowOff>9525</xdr:rowOff>
    </xdr:from>
    <xdr:to>
      <xdr:col>71</xdr:col>
      <xdr:colOff>76200</xdr:colOff>
      <xdr:row>81</xdr:row>
      <xdr:rowOff>0</xdr:rowOff>
    </xdr:to>
    <xdr:sp macro="" textlink="">
      <xdr:nvSpPr>
        <xdr:cNvPr id="29" name="TextBox 28">
          <a:extLst>
            <a:ext uri="{FF2B5EF4-FFF2-40B4-BE49-F238E27FC236}">
              <a16:creationId xmlns:a16="http://schemas.microsoft.com/office/drawing/2014/main" id="{706C470C-CDD5-4C4A-8597-087F195DC9F2}"/>
            </a:ext>
          </a:extLst>
        </xdr:cNvPr>
        <xdr:cNvSpPr txBox="1"/>
      </xdr:nvSpPr>
      <xdr:spPr>
        <a:xfrm>
          <a:off x="12049125" y="18297525"/>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Motor</a:t>
          </a:r>
        </a:p>
      </xdr:txBody>
    </xdr:sp>
    <xdr:clientData/>
  </xdr:twoCellAnchor>
  <xdr:twoCellAnchor>
    <xdr:from>
      <xdr:col>55</xdr:col>
      <xdr:colOff>85725</xdr:colOff>
      <xdr:row>58</xdr:row>
      <xdr:rowOff>185791</xdr:rowOff>
    </xdr:from>
    <xdr:to>
      <xdr:col>58</xdr:col>
      <xdr:colOff>38100</xdr:colOff>
      <xdr:row>64</xdr:row>
      <xdr:rowOff>47678</xdr:rowOff>
    </xdr:to>
    <xdr:sp macro="" textlink="">
      <xdr:nvSpPr>
        <xdr:cNvPr id="30" name="TextBox 29">
          <a:extLst>
            <a:ext uri="{FF2B5EF4-FFF2-40B4-BE49-F238E27FC236}">
              <a16:creationId xmlns:a16="http://schemas.microsoft.com/office/drawing/2014/main" id="{63965419-8600-4A1C-9137-11052C7C970F}"/>
            </a:ext>
          </a:extLst>
        </xdr:cNvPr>
        <xdr:cNvSpPr txBox="1"/>
      </xdr:nvSpPr>
      <xdr:spPr>
        <a:xfrm rot="16200000">
          <a:off x="9670256" y="13813685"/>
          <a:ext cx="1233487"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Current During</a:t>
          </a:r>
          <a:br>
            <a:rPr lang="en-US" sz="1100"/>
          </a:br>
          <a:r>
            <a:rPr lang="en-US" sz="1100"/>
            <a:t>Start (%FLA)</a:t>
          </a:r>
        </a:p>
        <a:p>
          <a:endParaRPr lang="en-US" sz="1100"/>
        </a:p>
      </xdr:txBody>
    </xdr:sp>
    <xdr:clientData/>
  </xdr:twoCellAnchor>
  <xdr:twoCellAnchor>
    <xdr:from>
      <xdr:col>59</xdr:col>
      <xdr:colOff>159197</xdr:colOff>
      <xdr:row>60</xdr:row>
      <xdr:rowOff>121497</xdr:rowOff>
    </xdr:from>
    <xdr:to>
      <xdr:col>59</xdr:col>
      <xdr:colOff>169062</xdr:colOff>
      <xdr:row>64</xdr:row>
      <xdr:rowOff>104775</xdr:rowOff>
    </xdr:to>
    <xdr:cxnSp macro="">
      <xdr:nvCxnSpPr>
        <xdr:cNvPr id="31" name="Straight Arrow Connector 30">
          <a:extLst>
            <a:ext uri="{FF2B5EF4-FFF2-40B4-BE49-F238E27FC236}">
              <a16:creationId xmlns:a16="http://schemas.microsoft.com/office/drawing/2014/main" id="{F64490ED-C01D-4CC2-A730-A33CEFAA2E71}"/>
            </a:ext>
          </a:extLst>
        </xdr:cNvPr>
        <xdr:cNvCxnSpPr/>
      </xdr:nvCxnSpPr>
      <xdr:spPr>
        <a:xfrm flipH="1">
          <a:off x="10836722" y="13837497"/>
          <a:ext cx="9865" cy="897678"/>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95251</xdr:colOff>
      <xdr:row>56</xdr:row>
      <xdr:rowOff>57150</xdr:rowOff>
    </xdr:from>
    <xdr:to>
      <xdr:col>58</xdr:col>
      <xdr:colOff>154082</xdr:colOff>
      <xdr:row>62</xdr:row>
      <xdr:rowOff>195007</xdr:rowOff>
    </xdr:to>
    <xdr:sp macro="" textlink="BH35">
      <xdr:nvSpPr>
        <xdr:cNvPr id="32" name="TextBox 31">
          <a:extLst>
            <a:ext uri="{FF2B5EF4-FFF2-40B4-BE49-F238E27FC236}">
              <a16:creationId xmlns:a16="http://schemas.microsoft.com/office/drawing/2014/main" id="{39F35E86-953A-4DAE-83C0-B42C5862E640}"/>
            </a:ext>
          </a:extLst>
        </xdr:cNvPr>
        <xdr:cNvSpPr txBox="1"/>
      </xdr:nvSpPr>
      <xdr:spPr>
        <a:xfrm rot="16200000">
          <a:off x="9776000" y="13493576"/>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AEE0506-AB9E-4DAD-9773-704E1FAD0EFD}" type="TxLink">
            <a:rPr lang="en-US" sz="1100" b="1" i="0" u="none" strike="noStrike">
              <a:solidFill>
                <a:srgbClr val="FF0000"/>
              </a:solidFill>
              <a:latin typeface="Calibri"/>
              <a:ea typeface="Calibri"/>
              <a:cs typeface="Calibri"/>
            </a:rPr>
            <a:pPr/>
            <a:t>382.4%</a:t>
          </a:fld>
          <a:endParaRPr lang="en-US" sz="1100" b="1">
            <a:solidFill>
              <a:srgbClr val="00B0F0"/>
            </a:solidFill>
          </a:endParaRPr>
        </a:p>
      </xdr:txBody>
    </xdr:sp>
    <xdr:clientData/>
  </xdr:twoCellAnchor>
  <xdr:twoCellAnchor>
    <xdr:from>
      <xdr:col>58</xdr:col>
      <xdr:colOff>28576</xdr:colOff>
      <xdr:row>56</xdr:row>
      <xdr:rowOff>47625</xdr:rowOff>
    </xdr:from>
    <xdr:to>
      <xdr:col>59</xdr:col>
      <xdr:colOff>87407</xdr:colOff>
      <xdr:row>62</xdr:row>
      <xdr:rowOff>185482</xdr:rowOff>
    </xdr:to>
    <xdr:sp macro="" textlink="BS35">
      <xdr:nvSpPr>
        <xdr:cNvPr id="33" name="TextBox 32">
          <a:extLst>
            <a:ext uri="{FF2B5EF4-FFF2-40B4-BE49-F238E27FC236}">
              <a16:creationId xmlns:a16="http://schemas.microsoft.com/office/drawing/2014/main" id="{68EC87AD-ACCC-4A80-88C0-E5A0FA606560}"/>
            </a:ext>
          </a:extLst>
        </xdr:cNvPr>
        <xdr:cNvSpPr txBox="1"/>
      </xdr:nvSpPr>
      <xdr:spPr>
        <a:xfrm rot="16200000">
          <a:off x="9890300" y="13484051"/>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0F5E619-4805-4E73-975D-CBF368DF47D1}" type="TxLink">
            <a:rPr lang="en-US" sz="1100" b="1" i="0" u="none" strike="noStrike">
              <a:solidFill>
                <a:srgbClr val="0E9ED9"/>
              </a:solidFill>
              <a:latin typeface="Calibri"/>
              <a:ea typeface="Calibri"/>
              <a:cs typeface="Calibri"/>
            </a:rPr>
            <a:pPr/>
            <a:t>146.8%</a:t>
          </a:fld>
          <a:endParaRPr lang="en-US" sz="1100" b="1">
            <a:solidFill>
              <a:srgbClr val="00B0F0"/>
            </a:solidFill>
          </a:endParaRPr>
        </a:p>
      </xdr:txBody>
    </xdr:sp>
    <xdr:clientData/>
  </xdr:twoCellAnchor>
  <xdr:twoCellAnchor>
    <xdr:from>
      <xdr:col>66</xdr:col>
      <xdr:colOff>171450</xdr:colOff>
      <xdr:row>63</xdr:row>
      <xdr:rowOff>66675</xdr:rowOff>
    </xdr:from>
    <xdr:to>
      <xdr:col>73</xdr:col>
      <xdr:colOff>91211</xdr:colOff>
      <xdr:row>65</xdr:row>
      <xdr:rowOff>105084</xdr:rowOff>
    </xdr:to>
    <xdr:sp macro="" textlink="">
      <xdr:nvSpPr>
        <xdr:cNvPr id="34" name="TextBox 33">
          <a:extLst>
            <a:ext uri="{FF2B5EF4-FFF2-40B4-BE49-F238E27FC236}">
              <a16:creationId xmlns:a16="http://schemas.microsoft.com/office/drawing/2014/main" id="{59C97336-FB59-4D17-B62B-5D16290DDAEE}"/>
            </a:ext>
          </a:extLst>
        </xdr:cNvPr>
        <xdr:cNvSpPr txBox="1"/>
      </xdr:nvSpPr>
      <xdr:spPr>
        <a:xfrm rot="19229337">
          <a:off x="12115800" y="14468475"/>
          <a:ext cx="1186586" cy="4956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Voltage During Start</a:t>
          </a:r>
        </a:p>
        <a:p>
          <a:pPr algn="ctr"/>
          <a:endParaRPr lang="en-US" sz="1100"/>
        </a:p>
      </xdr:txBody>
    </xdr:sp>
    <xdr:clientData/>
  </xdr:twoCellAnchor>
  <xdr:twoCellAnchor>
    <xdr:from>
      <xdr:col>69</xdr:col>
      <xdr:colOff>47625</xdr:colOff>
      <xdr:row>63</xdr:row>
      <xdr:rowOff>85724</xdr:rowOff>
    </xdr:from>
    <xdr:to>
      <xdr:col>76</xdr:col>
      <xdr:colOff>137525</xdr:colOff>
      <xdr:row>64</xdr:row>
      <xdr:rowOff>96930</xdr:rowOff>
    </xdr:to>
    <xdr:sp macro="" textlink="BH21">
      <xdr:nvSpPr>
        <xdr:cNvPr id="35" name="TextBox 34">
          <a:extLst>
            <a:ext uri="{FF2B5EF4-FFF2-40B4-BE49-F238E27FC236}">
              <a16:creationId xmlns:a16="http://schemas.microsoft.com/office/drawing/2014/main" id="{605F8C77-8A18-4C73-8EDC-12DFE371E578}"/>
            </a:ext>
          </a:extLst>
        </xdr:cNvPr>
        <xdr:cNvSpPr txBox="1"/>
      </xdr:nvSpPr>
      <xdr:spPr>
        <a:xfrm rot="19260591">
          <a:off x="12534900" y="14487524"/>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374B981-ECA2-43BB-B0EF-C48069627100}" type="TxLink">
            <a:rPr lang="en-US" sz="1100" b="1" i="0" u="none" strike="noStrike">
              <a:solidFill>
                <a:srgbClr val="FF0000"/>
              </a:solidFill>
              <a:latin typeface="Calibri"/>
              <a:ea typeface="Calibri"/>
              <a:cs typeface="Calibri"/>
            </a:rPr>
            <a:pPr/>
            <a:t>74.5%</a:t>
          </a:fld>
          <a:endParaRPr lang="en-US" sz="1100">
            <a:solidFill>
              <a:srgbClr val="FF0000"/>
            </a:solidFill>
          </a:endParaRPr>
        </a:p>
      </xdr:txBody>
    </xdr:sp>
    <xdr:clientData/>
  </xdr:twoCellAnchor>
  <xdr:twoCellAnchor>
    <xdr:from>
      <xdr:col>66</xdr:col>
      <xdr:colOff>152400</xdr:colOff>
      <xdr:row>68</xdr:row>
      <xdr:rowOff>38100</xdr:rowOff>
    </xdr:from>
    <xdr:to>
      <xdr:col>73</xdr:col>
      <xdr:colOff>72161</xdr:colOff>
      <xdr:row>70</xdr:row>
      <xdr:rowOff>76509</xdr:rowOff>
    </xdr:to>
    <xdr:sp macro="" textlink="">
      <xdr:nvSpPr>
        <xdr:cNvPr id="36" name="TextBox 35">
          <a:extLst>
            <a:ext uri="{FF2B5EF4-FFF2-40B4-BE49-F238E27FC236}">
              <a16:creationId xmlns:a16="http://schemas.microsoft.com/office/drawing/2014/main" id="{8249AD96-8C66-43EF-8DF1-E1FF82CBFDA5}"/>
            </a:ext>
          </a:extLst>
        </xdr:cNvPr>
        <xdr:cNvSpPr txBox="1"/>
      </xdr:nvSpPr>
      <xdr:spPr>
        <a:xfrm rot="19229337">
          <a:off x="12096750" y="15582900"/>
          <a:ext cx="1186586" cy="4956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Voltage During Start</a:t>
          </a:r>
        </a:p>
        <a:p>
          <a:pPr algn="ctr"/>
          <a:endParaRPr lang="en-US" sz="1100"/>
        </a:p>
      </xdr:txBody>
    </xdr:sp>
    <xdr:clientData/>
  </xdr:twoCellAnchor>
  <xdr:twoCellAnchor>
    <xdr:from>
      <xdr:col>70</xdr:col>
      <xdr:colOff>85725</xdr:colOff>
      <xdr:row>72</xdr:row>
      <xdr:rowOff>190500</xdr:rowOff>
    </xdr:from>
    <xdr:to>
      <xdr:col>77</xdr:col>
      <xdr:colOff>5486</xdr:colOff>
      <xdr:row>75</xdr:row>
      <xdr:rowOff>309</xdr:rowOff>
    </xdr:to>
    <xdr:sp macro="" textlink="">
      <xdr:nvSpPr>
        <xdr:cNvPr id="37" name="TextBox 36">
          <a:extLst>
            <a:ext uri="{FF2B5EF4-FFF2-40B4-BE49-F238E27FC236}">
              <a16:creationId xmlns:a16="http://schemas.microsoft.com/office/drawing/2014/main" id="{486F0E5C-551B-48EF-A9D0-F0CB15080634}"/>
            </a:ext>
          </a:extLst>
        </xdr:cNvPr>
        <xdr:cNvSpPr txBox="1"/>
      </xdr:nvSpPr>
      <xdr:spPr>
        <a:xfrm rot="19229337">
          <a:off x="12753975" y="16649700"/>
          <a:ext cx="1186586" cy="4956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Voltage During Start</a:t>
          </a:r>
        </a:p>
        <a:p>
          <a:pPr algn="ctr"/>
          <a:endParaRPr lang="en-US" sz="1100"/>
        </a:p>
      </xdr:txBody>
    </xdr:sp>
    <xdr:clientData/>
  </xdr:twoCellAnchor>
  <xdr:twoCellAnchor>
    <xdr:from>
      <xdr:col>69</xdr:col>
      <xdr:colOff>142875</xdr:colOff>
      <xdr:row>63</xdr:row>
      <xdr:rowOff>190500</xdr:rowOff>
    </xdr:from>
    <xdr:to>
      <xdr:col>77</xdr:col>
      <xdr:colOff>51800</xdr:colOff>
      <xdr:row>64</xdr:row>
      <xdr:rowOff>201706</xdr:rowOff>
    </xdr:to>
    <xdr:sp macro="" textlink="BS21">
      <xdr:nvSpPr>
        <xdr:cNvPr id="38" name="TextBox 37">
          <a:extLst>
            <a:ext uri="{FF2B5EF4-FFF2-40B4-BE49-F238E27FC236}">
              <a16:creationId xmlns:a16="http://schemas.microsoft.com/office/drawing/2014/main" id="{46D0B7C3-34F0-41F8-B77B-65657133AA72}"/>
            </a:ext>
          </a:extLst>
        </xdr:cNvPr>
        <xdr:cNvSpPr txBox="1"/>
      </xdr:nvSpPr>
      <xdr:spPr>
        <a:xfrm rot="19260591">
          <a:off x="12630150" y="14592300"/>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8164175-FA8D-4DB0-9ED1-B0AED4D75772}" type="TxLink">
            <a:rPr lang="en-US" sz="1100" b="1" i="0" u="none" strike="noStrike">
              <a:solidFill>
                <a:srgbClr val="0E9ED9"/>
              </a:solidFill>
              <a:latin typeface="Calibri"/>
              <a:ea typeface="Calibri"/>
              <a:cs typeface="Calibri"/>
            </a:rPr>
            <a:pPr/>
            <a:t>92.6%</a:t>
          </a:fld>
          <a:endParaRPr lang="en-US" sz="1100"/>
        </a:p>
      </xdr:txBody>
    </xdr:sp>
    <xdr:clientData/>
  </xdr:twoCellAnchor>
  <xdr:twoCellAnchor>
    <xdr:from>
      <xdr:col>69</xdr:col>
      <xdr:colOff>19050</xdr:colOff>
      <xdr:row>68</xdr:row>
      <xdr:rowOff>57149</xdr:rowOff>
    </xdr:from>
    <xdr:to>
      <xdr:col>76</xdr:col>
      <xdr:colOff>108950</xdr:colOff>
      <xdr:row>69</xdr:row>
      <xdr:rowOff>68355</xdr:rowOff>
    </xdr:to>
    <xdr:sp macro="" textlink="BH25">
      <xdr:nvSpPr>
        <xdr:cNvPr id="39" name="TextBox 38">
          <a:extLst>
            <a:ext uri="{FF2B5EF4-FFF2-40B4-BE49-F238E27FC236}">
              <a16:creationId xmlns:a16="http://schemas.microsoft.com/office/drawing/2014/main" id="{D0B14DCB-5CF5-4917-BCD3-254DCEBAC897}"/>
            </a:ext>
          </a:extLst>
        </xdr:cNvPr>
        <xdr:cNvSpPr txBox="1"/>
      </xdr:nvSpPr>
      <xdr:spPr>
        <a:xfrm rot="19260591">
          <a:off x="12506325" y="15601949"/>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B99CAF0-E7B0-4FDE-8D27-077D4C084AD2}" type="TxLink">
            <a:rPr lang="en-US" sz="1100" b="1" i="0" u="none" strike="noStrike">
              <a:solidFill>
                <a:srgbClr val="FF0000"/>
              </a:solidFill>
              <a:latin typeface="Calibri"/>
              <a:ea typeface="Calibri"/>
              <a:cs typeface="Calibri"/>
            </a:rPr>
            <a:pPr/>
            <a:t>71.1%</a:t>
          </a:fld>
          <a:endParaRPr lang="en-US" sz="1100">
            <a:solidFill>
              <a:srgbClr val="FF0000"/>
            </a:solidFill>
          </a:endParaRPr>
        </a:p>
      </xdr:txBody>
    </xdr:sp>
    <xdr:clientData/>
  </xdr:twoCellAnchor>
  <xdr:twoCellAnchor>
    <xdr:from>
      <xdr:col>69</xdr:col>
      <xdr:colOff>114299</xdr:colOff>
      <xdr:row>68</xdr:row>
      <xdr:rowOff>152400</xdr:rowOff>
    </xdr:from>
    <xdr:to>
      <xdr:col>77</xdr:col>
      <xdr:colOff>23224</xdr:colOff>
      <xdr:row>69</xdr:row>
      <xdr:rowOff>163606</xdr:rowOff>
    </xdr:to>
    <xdr:sp macro="" textlink="BS25">
      <xdr:nvSpPr>
        <xdr:cNvPr id="40" name="TextBox 39">
          <a:extLst>
            <a:ext uri="{FF2B5EF4-FFF2-40B4-BE49-F238E27FC236}">
              <a16:creationId xmlns:a16="http://schemas.microsoft.com/office/drawing/2014/main" id="{F570F726-4AF1-46EB-B6B5-BE112F2A6DE9}"/>
            </a:ext>
          </a:extLst>
        </xdr:cNvPr>
        <xdr:cNvSpPr txBox="1"/>
      </xdr:nvSpPr>
      <xdr:spPr>
        <a:xfrm rot="19260591">
          <a:off x="12601574" y="15697200"/>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98C154B-3925-4218-9B0D-715864C3BA97}" type="TxLink">
            <a:rPr lang="en-US" sz="1100" b="1" i="0" u="none" strike="noStrike">
              <a:solidFill>
                <a:srgbClr val="0E9ED9"/>
              </a:solidFill>
              <a:latin typeface="Calibri"/>
              <a:ea typeface="Calibri"/>
              <a:cs typeface="Calibri"/>
            </a:rPr>
            <a:pPr/>
            <a:t>91.7%</a:t>
          </a:fld>
          <a:endParaRPr lang="en-US" sz="1100"/>
        </a:p>
      </xdr:txBody>
    </xdr:sp>
    <xdr:clientData/>
  </xdr:twoCellAnchor>
  <xdr:twoCellAnchor>
    <xdr:from>
      <xdr:col>72</xdr:col>
      <xdr:colOff>104776</xdr:colOff>
      <xdr:row>72</xdr:row>
      <xdr:rowOff>219073</xdr:rowOff>
    </xdr:from>
    <xdr:to>
      <xdr:col>80</xdr:col>
      <xdr:colOff>13701</xdr:colOff>
      <xdr:row>74</xdr:row>
      <xdr:rowOff>1679</xdr:rowOff>
    </xdr:to>
    <xdr:sp macro="" textlink="BH29">
      <xdr:nvSpPr>
        <xdr:cNvPr id="41" name="TextBox 40">
          <a:extLst>
            <a:ext uri="{FF2B5EF4-FFF2-40B4-BE49-F238E27FC236}">
              <a16:creationId xmlns:a16="http://schemas.microsoft.com/office/drawing/2014/main" id="{D0CD55AF-A6F1-45CD-AF50-265942A0115F}"/>
            </a:ext>
          </a:extLst>
        </xdr:cNvPr>
        <xdr:cNvSpPr txBox="1"/>
      </xdr:nvSpPr>
      <xdr:spPr>
        <a:xfrm rot="19260591">
          <a:off x="13134976" y="16678273"/>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4CCEFE4-245E-401E-BC66-D11F2438BC51}" type="TxLink">
            <a:rPr lang="en-US" sz="1100" b="1" i="0" u="none" strike="noStrike">
              <a:solidFill>
                <a:srgbClr val="FF0000"/>
              </a:solidFill>
              <a:latin typeface="Calibri"/>
              <a:ea typeface="Calibri"/>
              <a:cs typeface="Calibri"/>
            </a:rPr>
            <a:pPr/>
            <a:t>58.8%</a:t>
          </a:fld>
          <a:endParaRPr lang="en-US" sz="1100">
            <a:solidFill>
              <a:srgbClr val="FF0000"/>
            </a:solidFill>
          </a:endParaRPr>
        </a:p>
      </xdr:txBody>
    </xdr:sp>
    <xdr:clientData/>
  </xdr:twoCellAnchor>
  <xdr:twoCellAnchor>
    <xdr:from>
      <xdr:col>73</xdr:col>
      <xdr:colOff>9525</xdr:colOff>
      <xdr:row>73</xdr:row>
      <xdr:rowOff>85725</xdr:rowOff>
    </xdr:from>
    <xdr:to>
      <xdr:col>80</xdr:col>
      <xdr:colOff>99425</xdr:colOff>
      <xdr:row>74</xdr:row>
      <xdr:rowOff>96931</xdr:rowOff>
    </xdr:to>
    <xdr:sp macro="" textlink="BS29">
      <xdr:nvSpPr>
        <xdr:cNvPr id="42" name="TextBox 41">
          <a:extLst>
            <a:ext uri="{FF2B5EF4-FFF2-40B4-BE49-F238E27FC236}">
              <a16:creationId xmlns:a16="http://schemas.microsoft.com/office/drawing/2014/main" id="{7C80D5E2-6551-4C05-85D9-6E930E680EAF}"/>
            </a:ext>
          </a:extLst>
        </xdr:cNvPr>
        <xdr:cNvSpPr txBox="1"/>
      </xdr:nvSpPr>
      <xdr:spPr>
        <a:xfrm rot="19260591">
          <a:off x="13220700" y="16773525"/>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9BCFF7F-3903-4A74-A1D3-D6F372031894}" type="TxLink">
            <a:rPr lang="en-US" sz="1100" b="1" i="0" u="none" strike="noStrike">
              <a:solidFill>
                <a:srgbClr val="0E9ED9"/>
              </a:solidFill>
              <a:latin typeface="Calibri"/>
              <a:ea typeface="Calibri"/>
              <a:cs typeface="Calibri"/>
            </a:rPr>
            <a:pPr/>
            <a:t>88.1%</a:t>
          </a:fld>
          <a:endParaRPr lang="en-US" sz="1100"/>
        </a:p>
      </xdr:txBody>
    </xdr:sp>
    <xdr:clientData/>
  </xdr:twoCellAnchor>
  <xdr:twoCellAnchor>
    <xdr:from>
      <xdr:col>58</xdr:col>
      <xdr:colOff>25251</xdr:colOff>
      <xdr:row>74</xdr:row>
      <xdr:rowOff>0</xdr:rowOff>
    </xdr:from>
    <xdr:to>
      <xdr:col>59</xdr:col>
      <xdr:colOff>84082</xdr:colOff>
      <xdr:row>80</xdr:row>
      <xdr:rowOff>137857</xdr:rowOff>
    </xdr:to>
    <xdr:sp macro="" textlink="EC30">
      <xdr:nvSpPr>
        <xdr:cNvPr id="43" name="TextBox 42">
          <a:extLst>
            <a:ext uri="{FF2B5EF4-FFF2-40B4-BE49-F238E27FC236}">
              <a16:creationId xmlns:a16="http://schemas.microsoft.com/office/drawing/2014/main" id="{2C07CCAA-5864-4C85-9B2F-496E5066BEC7}"/>
            </a:ext>
          </a:extLst>
        </xdr:cNvPr>
        <xdr:cNvSpPr txBox="1"/>
      </xdr:nvSpPr>
      <xdr:spPr>
        <a:xfrm rot="16200000">
          <a:off x="9886975" y="17551226"/>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FBF49D8-2E36-4B1C-8D10-152CDF95D178}" type="TxLink">
            <a:rPr lang="en-US" sz="1100" b="1" i="0" u="none" strike="noStrike">
              <a:solidFill>
                <a:srgbClr val="00B0F0"/>
              </a:solidFill>
              <a:latin typeface="Calibri"/>
              <a:ea typeface="Calibri"/>
              <a:cs typeface="Calibri"/>
            </a:rPr>
            <a:pPr/>
            <a:t>3312</a:t>
          </a:fld>
          <a:endParaRPr lang="en-US" sz="1100" b="1">
            <a:solidFill>
              <a:srgbClr val="00B0F0"/>
            </a:solidFill>
          </a:endParaRPr>
        </a:p>
      </xdr:txBody>
    </xdr:sp>
    <xdr:clientData/>
  </xdr:twoCellAnchor>
  <xdr:twoCellAnchor>
    <xdr:from>
      <xdr:col>54</xdr:col>
      <xdr:colOff>85725</xdr:colOff>
      <xdr:row>77</xdr:row>
      <xdr:rowOff>14341</xdr:rowOff>
    </xdr:from>
    <xdr:to>
      <xdr:col>58</xdr:col>
      <xdr:colOff>28575</xdr:colOff>
      <xdr:row>82</xdr:row>
      <xdr:rowOff>104828</xdr:rowOff>
    </xdr:to>
    <xdr:sp macro="" textlink="">
      <xdr:nvSpPr>
        <xdr:cNvPr id="44" name="TextBox 43">
          <a:extLst>
            <a:ext uri="{FF2B5EF4-FFF2-40B4-BE49-F238E27FC236}">
              <a16:creationId xmlns:a16="http://schemas.microsoft.com/office/drawing/2014/main" id="{220A0257-8199-4DEC-B9CB-8C84E3E0CA20}"/>
            </a:ext>
          </a:extLst>
        </xdr:cNvPr>
        <xdr:cNvSpPr txBox="1"/>
      </xdr:nvSpPr>
      <xdr:spPr>
        <a:xfrm rot="16200000">
          <a:off x="9575006" y="17899910"/>
          <a:ext cx="1233487"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Current Assist from MotorVAR</a:t>
          </a:r>
          <a:r>
            <a:rPr lang="en-US" sz="1100" baseline="0"/>
            <a:t> (amps)</a:t>
          </a:r>
          <a:endParaRPr lang="en-US" sz="1100"/>
        </a:p>
      </xdr:txBody>
    </xdr:sp>
    <xdr:clientData/>
  </xdr:twoCellAnchor>
  <xdr:twoCellAnchor>
    <xdr:from>
      <xdr:col>60</xdr:col>
      <xdr:colOff>28572</xdr:colOff>
      <xdr:row>77</xdr:row>
      <xdr:rowOff>202860</xdr:rowOff>
    </xdr:from>
    <xdr:to>
      <xdr:col>60</xdr:col>
      <xdr:colOff>28572</xdr:colOff>
      <xdr:row>81</xdr:row>
      <xdr:rowOff>126660</xdr:rowOff>
    </xdr:to>
    <xdr:cxnSp macro="">
      <xdr:nvCxnSpPr>
        <xdr:cNvPr id="45" name="Straight Arrow Connector 44">
          <a:extLst>
            <a:ext uri="{FF2B5EF4-FFF2-40B4-BE49-F238E27FC236}">
              <a16:creationId xmlns:a16="http://schemas.microsoft.com/office/drawing/2014/main" id="{02777E3B-40A7-497F-BCDC-032783874E3F}"/>
            </a:ext>
          </a:extLst>
        </xdr:cNvPr>
        <xdr:cNvCxnSpPr/>
      </xdr:nvCxnSpPr>
      <xdr:spPr>
        <a:xfrm flipV="1">
          <a:off x="10887072" y="17805060"/>
          <a:ext cx="0" cy="83820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57151</xdr:colOff>
      <xdr:row>74</xdr:row>
      <xdr:rowOff>0</xdr:rowOff>
    </xdr:from>
    <xdr:to>
      <xdr:col>58</xdr:col>
      <xdr:colOff>115982</xdr:colOff>
      <xdr:row>80</xdr:row>
      <xdr:rowOff>137857</xdr:rowOff>
    </xdr:to>
    <xdr:sp macro="" textlink="EC30">
      <xdr:nvSpPr>
        <xdr:cNvPr id="46" name="TextBox 45">
          <a:extLst>
            <a:ext uri="{FF2B5EF4-FFF2-40B4-BE49-F238E27FC236}">
              <a16:creationId xmlns:a16="http://schemas.microsoft.com/office/drawing/2014/main" id="{30D6D734-D72F-4FA1-8B81-094F8D01B799}"/>
            </a:ext>
          </a:extLst>
        </xdr:cNvPr>
        <xdr:cNvSpPr txBox="1"/>
      </xdr:nvSpPr>
      <xdr:spPr>
        <a:xfrm rot="16200000">
          <a:off x="9737900" y="17551226"/>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0.0</a:t>
          </a:r>
        </a:p>
        <a:p>
          <a:endParaRPr lang="en-US" sz="1100" b="1">
            <a:solidFill>
              <a:srgbClr val="FF0000"/>
            </a:solidFill>
          </a:endParaRPr>
        </a:p>
      </xdr:txBody>
    </xdr:sp>
    <xdr:clientData/>
  </xdr:twoCellAnchor>
  <xdr:twoCellAnchor>
    <xdr:from>
      <xdr:col>71</xdr:col>
      <xdr:colOff>57150</xdr:colOff>
      <xdr:row>78</xdr:row>
      <xdr:rowOff>209550</xdr:rowOff>
    </xdr:from>
    <xdr:to>
      <xdr:col>80</xdr:col>
      <xdr:colOff>121985</xdr:colOff>
      <xdr:row>79</xdr:row>
      <xdr:rowOff>218035</xdr:rowOff>
    </xdr:to>
    <xdr:sp macro="" textlink="BH15">
      <xdr:nvSpPr>
        <xdr:cNvPr id="47" name="TextBox 46">
          <a:extLst>
            <a:ext uri="{FF2B5EF4-FFF2-40B4-BE49-F238E27FC236}">
              <a16:creationId xmlns:a16="http://schemas.microsoft.com/office/drawing/2014/main" id="{774EF8F7-6001-4EF6-AFA8-DBE905E5C0E8}"/>
            </a:ext>
          </a:extLst>
        </xdr:cNvPr>
        <xdr:cNvSpPr txBox="1"/>
      </xdr:nvSpPr>
      <xdr:spPr>
        <a:xfrm>
          <a:off x="12906375" y="18040350"/>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5CECED1-D129-43E0-9F22-203483DB49D4}" type="TxLink">
            <a:rPr lang="en-US" sz="1100" b="1" i="0" u="none" strike="noStrike">
              <a:solidFill>
                <a:srgbClr val="FF0000"/>
              </a:solidFill>
              <a:latin typeface="Calibri"/>
              <a:ea typeface="Calibri"/>
              <a:cs typeface="Calibri"/>
            </a:rPr>
            <a:pPr/>
            <a:t>34.6%</a:t>
          </a:fld>
          <a:endParaRPr lang="en-US" sz="1100"/>
        </a:p>
      </xdr:txBody>
    </xdr:sp>
    <xdr:clientData/>
  </xdr:twoCellAnchor>
  <xdr:twoCellAnchor>
    <xdr:from>
      <xdr:col>68</xdr:col>
      <xdr:colOff>171450</xdr:colOff>
      <xdr:row>77</xdr:row>
      <xdr:rowOff>104775</xdr:rowOff>
    </xdr:from>
    <xdr:to>
      <xdr:col>76</xdr:col>
      <xdr:colOff>123825</xdr:colOff>
      <xdr:row>79</xdr:row>
      <xdr:rowOff>95250</xdr:rowOff>
    </xdr:to>
    <xdr:sp macro="" textlink="">
      <xdr:nvSpPr>
        <xdr:cNvPr id="48" name="TextBox 47">
          <a:extLst>
            <a:ext uri="{FF2B5EF4-FFF2-40B4-BE49-F238E27FC236}">
              <a16:creationId xmlns:a16="http://schemas.microsoft.com/office/drawing/2014/main" id="{68B804B8-B9D4-4293-B93B-6D185451D4F7}"/>
            </a:ext>
          </a:extLst>
        </xdr:cNvPr>
        <xdr:cNvSpPr txBox="1"/>
      </xdr:nvSpPr>
      <xdr:spPr>
        <a:xfrm>
          <a:off x="12477750" y="17706975"/>
          <a:ext cx="1400175"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 Torque</a:t>
          </a:r>
          <a:br>
            <a:rPr lang="en-US" sz="1100"/>
          </a:br>
          <a:r>
            <a:rPr lang="en-US" sz="1100"/>
            <a:t>During Start</a:t>
          </a:r>
        </a:p>
      </xdr:txBody>
    </xdr:sp>
    <xdr:clientData/>
  </xdr:twoCellAnchor>
  <xdr:twoCellAnchor>
    <xdr:from>
      <xdr:col>73</xdr:col>
      <xdr:colOff>28575</xdr:colOff>
      <xdr:row>77</xdr:row>
      <xdr:rowOff>95250</xdr:rowOff>
    </xdr:from>
    <xdr:to>
      <xdr:col>80</xdr:col>
      <xdr:colOff>161925</xdr:colOff>
      <xdr:row>79</xdr:row>
      <xdr:rowOff>190500</xdr:rowOff>
    </xdr:to>
    <xdr:sp macro="" textlink="">
      <xdr:nvSpPr>
        <xdr:cNvPr id="49" name="TextBox 48">
          <a:extLst>
            <a:ext uri="{FF2B5EF4-FFF2-40B4-BE49-F238E27FC236}">
              <a16:creationId xmlns:a16="http://schemas.microsoft.com/office/drawing/2014/main" id="{EF0898AA-BC77-414E-B964-09BE2F029923}"/>
            </a:ext>
          </a:extLst>
        </xdr:cNvPr>
        <xdr:cNvSpPr txBox="1"/>
      </xdr:nvSpPr>
      <xdr:spPr>
        <a:xfrm>
          <a:off x="13239750" y="17697450"/>
          <a:ext cx="140017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br>
            <a:rPr lang="en-US" sz="1100"/>
          </a:br>
          <a:r>
            <a:rPr lang="en-US" sz="1100"/>
            <a:t>(amps)</a:t>
          </a:r>
        </a:p>
      </xdr:txBody>
    </xdr:sp>
    <xdr:clientData/>
  </xdr:twoCellAnchor>
  <xdr:twoCellAnchor>
    <xdr:from>
      <xdr:col>70</xdr:col>
      <xdr:colOff>85725</xdr:colOff>
      <xdr:row>79</xdr:row>
      <xdr:rowOff>28575</xdr:rowOff>
    </xdr:from>
    <xdr:to>
      <xdr:col>75</xdr:col>
      <xdr:colOff>9525</xdr:colOff>
      <xdr:row>79</xdr:row>
      <xdr:rowOff>28575</xdr:rowOff>
    </xdr:to>
    <xdr:cxnSp macro="">
      <xdr:nvCxnSpPr>
        <xdr:cNvPr id="50" name="Straight Connector 49">
          <a:extLst>
            <a:ext uri="{FF2B5EF4-FFF2-40B4-BE49-F238E27FC236}">
              <a16:creationId xmlns:a16="http://schemas.microsoft.com/office/drawing/2014/main" id="{A5595189-9795-4561-844F-7E2BE8D22AFC}"/>
            </a:ext>
          </a:extLst>
        </xdr:cNvPr>
        <xdr:cNvCxnSpPr/>
      </xdr:nvCxnSpPr>
      <xdr:spPr>
        <a:xfrm>
          <a:off x="12753975" y="18087975"/>
          <a:ext cx="828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57150</xdr:colOff>
      <xdr:row>79</xdr:row>
      <xdr:rowOff>28575</xdr:rowOff>
    </xdr:from>
    <xdr:to>
      <xdr:col>78</xdr:col>
      <xdr:colOff>66675</xdr:colOff>
      <xdr:row>79</xdr:row>
      <xdr:rowOff>28575</xdr:rowOff>
    </xdr:to>
    <xdr:cxnSp macro="">
      <xdr:nvCxnSpPr>
        <xdr:cNvPr id="51" name="Straight Connector 50">
          <a:extLst>
            <a:ext uri="{FF2B5EF4-FFF2-40B4-BE49-F238E27FC236}">
              <a16:creationId xmlns:a16="http://schemas.microsoft.com/office/drawing/2014/main" id="{5058A5E0-C216-4E8C-B98C-509B0FF91181}"/>
            </a:ext>
          </a:extLst>
        </xdr:cNvPr>
        <xdr:cNvCxnSpPr/>
      </xdr:nvCxnSpPr>
      <xdr:spPr>
        <a:xfrm>
          <a:off x="13630275" y="18087975"/>
          <a:ext cx="552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79</xdr:col>
      <xdr:colOff>95250</xdr:colOff>
      <xdr:row>79</xdr:row>
      <xdr:rowOff>28575</xdr:rowOff>
    </xdr:from>
    <xdr:to>
      <xdr:col>83</xdr:col>
      <xdr:colOff>28575</xdr:colOff>
      <xdr:row>79</xdr:row>
      <xdr:rowOff>28575</xdr:rowOff>
    </xdr:to>
    <xdr:cxnSp macro="">
      <xdr:nvCxnSpPr>
        <xdr:cNvPr id="52" name="Straight Connector 51">
          <a:extLst>
            <a:ext uri="{FF2B5EF4-FFF2-40B4-BE49-F238E27FC236}">
              <a16:creationId xmlns:a16="http://schemas.microsoft.com/office/drawing/2014/main" id="{8820BF40-2448-4962-BE51-48DC4F42A9B4}"/>
            </a:ext>
          </a:extLst>
        </xdr:cNvPr>
        <xdr:cNvCxnSpPr/>
      </xdr:nvCxnSpPr>
      <xdr:spPr>
        <a:xfrm>
          <a:off x="14392275" y="18087975"/>
          <a:ext cx="657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161925</xdr:colOff>
      <xdr:row>77</xdr:row>
      <xdr:rowOff>47625</xdr:rowOff>
    </xdr:from>
    <xdr:to>
      <xdr:col>82</xdr:col>
      <xdr:colOff>25775</xdr:colOff>
      <xdr:row>78</xdr:row>
      <xdr:rowOff>119503</xdr:rowOff>
    </xdr:to>
    <xdr:sp macro="" textlink="">
      <xdr:nvSpPr>
        <xdr:cNvPr id="53" name="TextBox 52">
          <a:extLst>
            <a:ext uri="{FF2B5EF4-FFF2-40B4-BE49-F238E27FC236}">
              <a16:creationId xmlns:a16="http://schemas.microsoft.com/office/drawing/2014/main" id="{B8CEE40E-7C6A-4CCC-B2F9-729EAF56E3BE}"/>
            </a:ext>
          </a:extLst>
        </xdr:cNvPr>
        <xdr:cNvSpPr txBox="1"/>
      </xdr:nvSpPr>
      <xdr:spPr>
        <a:xfrm>
          <a:off x="13735050" y="17649825"/>
          <a:ext cx="1130675" cy="300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Starting Current</a:t>
          </a:r>
        </a:p>
      </xdr:txBody>
    </xdr:sp>
    <xdr:clientData/>
  </xdr:twoCellAnchor>
  <xdr:twoCellAnchor>
    <xdr:from>
      <xdr:col>75</xdr:col>
      <xdr:colOff>123825</xdr:colOff>
      <xdr:row>78</xdr:row>
      <xdr:rowOff>47625</xdr:rowOff>
    </xdr:from>
    <xdr:to>
      <xdr:col>83</xdr:col>
      <xdr:colOff>38100</xdr:colOff>
      <xdr:row>78</xdr:row>
      <xdr:rowOff>47625</xdr:rowOff>
    </xdr:to>
    <xdr:cxnSp macro="">
      <xdr:nvCxnSpPr>
        <xdr:cNvPr id="54" name="Straight Connector 53">
          <a:extLst>
            <a:ext uri="{FF2B5EF4-FFF2-40B4-BE49-F238E27FC236}">
              <a16:creationId xmlns:a16="http://schemas.microsoft.com/office/drawing/2014/main" id="{5B508C02-A32B-4746-B5E8-586263C6C2E1}"/>
            </a:ext>
          </a:extLst>
        </xdr:cNvPr>
        <xdr:cNvCxnSpPr/>
      </xdr:nvCxnSpPr>
      <xdr:spPr>
        <a:xfrm>
          <a:off x="13696950" y="17878425"/>
          <a:ext cx="1362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77</xdr:col>
      <xdr:colOff>114300</xdr:colOff>
      <xdr:row>78</xdr:row>
      <xdr:rowOff>28575</xdr:rowOff>
    </xdr:from>
    <xdr:to>
      <xdr:col>83</xdr:col>
      <xdr:colOff>104775</xdr:colOff>
      <xdr:row>79</xdr:row>
      <xdr:rowOff>47625</xdr:rowOff>
    </xdr:to>
    <xdr:sp macro="" textlink="">
      <xdr:nvSpPr>
        <xdr:cNvPr id="55" name="TextBox 54">
          <a:extLst>
            <a:ext uri="{FF2B5EF4-FFF2-40B4-BE49-F238E27FC236}">
              <a16:creationId xmlns:a16="http://schemas.microsoft.com/office/drawing/2014/main" id="{5C792D85-C508-4CA2-BA5D-DA2B03740D7C}"/>
            </a:ext>
          </a:extLst>
        </xdr:cNvPr>
        <xdr:cNvSpPr txBox="1"/>
      </xdr:nvSpPr>
      <xdr:spPr>
        <a:xfrm>
          <a:off x="14049375" y="17859375"/>
          <a:ext cx="10763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(%FLA)</a:t>
          </a:r>
        </a:p>
      </xdr:txBody>
    </xdr:sp>
    <xdr:clientData/>
  </xdr:twoCellAnchor>
  <xdr:twoCellAnchor>
    <xdr:from>
      <xdr:col>71</xdr:col>
      <xdr:colOff>66675</xdr:colOff>
      <xdr:row>79</xdr:row>
      <xdr:rowOff>133350</xdr:rowOff>
    </xdr:from>
    <xdr:to>
      <xdr:col>74</xdr:col>
      <xdr:colOff>152400</xdr:colOff>
      <xdr:row>80</xdr:row>
      <xdr:rowOff>141835</xdr:rowOff>
    </xdr:to>
    <xdr:sp macro="" textlink="BS15">
      <xdr:nvSpPr>
        <xdr:cNvPr id="56" name="TextBox 55">
          <a:extLst>
            <a:ext uri="{FF2B5EF4-FFF2-40B4-BE49-F238E27FC236}">
              <a16:creationId xmlns:a16="http://schemas.microsoft.com/office/drawing/2014/main" id="{648853B5-F386-46CA-97C7-AD5234B98985}"/>
            </a:ext>
          </a:extLst>
        </xdr:cNvPr>
        <xdr:cNvSpPr txBox="1"/>
      </xdr:nvSpPr>
      <xdr:spPr>
        <a:xfrm>
          <a:off x="12915900" y="18192750"/>
          <a:ext cx="62865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2262AC8-90BA-4CED-A6C4-860154120479}" type="TxLink">
            <a:rPr lang="en-US" sz="1100" b="0" i="0" u="none" strike="noStrike">
              <a:solidFill>
                <a:srgbClr val="0E9ED9"/>
              </a:solidFill>
              <a:latin typeface="Calibri"/>
              <a:ea typeface="Calibri"/>
              <a:cs typeface="Calibri"/>
            </a:rPr>
            <a:pPr/>
            <a:t>84.0%</a:t>
          </a:fld>
          <a:endParaRPr lang="en-US" sz="1100"/>
        </a:p>
      </xdr:txBody>
    </xdr:sp>
    <xdr:clientData/>
  </xdr:twoCellAnchor>
  <xdr:twoCellAnchor>
    <xdr:from>
      <xdr:col>79</xdr:col>
      <xdr:colOff>28575</xdr:colOff>
      <xdr:row>78</xdr:row>
      <xdr:rowOff>209550</xdr:rowOff>
    </xdr:from>
    <xdr:to>
      <xdr:col>83</xdr:col>
      <xdr:colOff>104775</xdr:colOff>
      <xdr:row>79</xdr:row>
      <xdr:rowOff>218035</xdr:rowOff>
    </xdr:to>
    <xdr:sp macro="" textlink="DJ8">
      <xdr:nvSpPr>
        <xdr:cNvPr id="57" name="TextBox 56">
          <a:extLst>
            <a:ext uri="{FF2B5EF4-FFF2-40B4-BE49-F238E27FC236}">
              <a16:creationId xmlns:a16="http://schemas.microsoft.com/office/drawing/2014/main" id="{01A24D48-D2D1-4C2E-A03E-E5D08A3EEF0D}"/>
            </a:ext>
          </a:extLst>
        </xdr:cNvPr>
        <xdr:cNvSpPr txBox="1"/>
      </xdr:nvSpPr>
      <xdr:spPr>
        <a:xfrm>
          <a:off x="14325600" y="18040350"/>
          <a:ext cx="80010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74D1525-E06A-44B1-B490-B1B7F3380FC0}" type="TxLink">
            <a:rPr lang="en-US" sz="1100" b="1" i="0" u="none" strike="noStrike">
              <a:solidFill>
                <a:srgbClr val="FF0000"/>
              </a:solidFill>
              <a:latin typeface="Calibri"/>
              <a:ea typeface="Calibri"/>
              <a:cs typeface="Calibri"/>
            </a:rPr>
            <a:pPr/>
            <a:t> </a:t>
          </a:fld>
          <a:endParaRPr lang="en-US" sz="1100" b="1">
            <a:solidFill>
              <a:srgbClr val="FF0000"/>
            </a:solidFill>
          </a:endParaRPr>
        </a:p>
      </xdr:txBody>
    </xdr:sp>
    <xdr:clientData/>
  </xdr:twoCellAnchor>
  <xdr:twoCellAnchor>
    <xdr:from>
      <xdr:col>78</xdr:col>
      <xdr:colOff>142875</xdr:colOff>
      <xdr:row>79</xdr:row>
      <xdr:rowOff>123825</xdr:rowOff>
    </xdr:from>
    <xdr:to>
      <xdr:col>83</xdr:col>
      <xdr:colOff>104775</xdr:colOff>
      <xdr:row>80</xdr:row>
      <xdr:rowOff>132310</xdr:rowOff>
    </xdr:to>
    <xdr:sp macro="" textlink="ER11">
      <xdr:nvSpPr>
        <xdr:cNvPr id="58" name="TextBox 57">
          <a:extLst>
            <a:ext uri="{FF2B5EF4-FFF2-40B4-BE49-F238E27FC236}">
              <a16:creationId xmlns:a16="http://schemas.microsoft.com/office/drawing/2014/main" id="{E9674C22-7BF5-4DC6-A3AC-CA2B0434AC47}"/>
            </a:ext>
          </a:extLst>
        </xdr:cNvPr>
        <xdr:cNvSpPr txBox="1"/>
      </xdr:nvSpPr>
      <xdr:spPr>
        <a:xfrm>
          <a:off x="14258925" y="18183225"/>
          <a:ext cx="866775"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C7D8C63-FD11-4506-8780-1DA6493A5EE1}" type="TxLink">
            <a:rPr lang="en-US" sz="1100" b="1" i="0" u="none" strike="noStrike">
              <a:solidFill>
                <a:srgbClr val="00B0F0"/>
              </a:solidFill>
              <a:latin typeface="Calibri"/>
              <a:ea typeface="Calibri"/>
              <a:cs typeface="Calibri"/>
            </a:rPr>
            <a:pPr/>
            <a:t> </a:t>
          </a:fld>
          <a:endParaRPr lang="en-US" sz="1100" b="1">
            <a:solidFill>
              <a:srgbClr val="00B0F0"/>
            </a:solidFill>
          </a:endParaRPr>
        </a:p>
      </xdr:txBody>
    </xdr:sp>
    <xdr:clientData/>
  </xdr:twoCellAnchor>
  <xdr:twoCellAnchor>
    <xdr:from>
      <xdr:col>79</xdr:col>
      <xdr:colOff>76200</xdr:colOff>
      <xdr:row>78</xdr:row>
      <xdr:rowOff>209550</xdr:rowOff>
    </xdr:from>
    <xdr:to>
      <xdr:col>83</xdr:col>
      <xdr:colOff>104775</xdr:colOff>
      <xdr:row>79</xdr:row>
      <xdr:rowOff>218035</xdr:rowOff>
    </xdr:to>
    <xdr:sp macro="" textlink="BH12">
      <xdr:nvSpPr>
        <xdr:cNvPr id="59" name="TextBox 58">
          <a:extLst>
            <a:ext uri="{FF2B5EF4-FFF2-40B4-BE49-F238E27FC236}">
              <a16:creationId xmlns:a16="http://schemas.microsoft.com/office/drawing/2014/main" id="{57CAAA36-D3AF-4DDA-B2B2-BB16CD464C9E}"/>
            </a:ext>
          </a:extLst>
        </xdr:cNvPr>
        <xdr:cNvSpPr txBox="1"/>
      </xdr:nvSpPr>
      <xdr:spPr>
        <a:xfrm>
          <a:off x="14373225" y="18040350"/>
          <a:ext cx="752475"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9F0EA06-8430-40E1-884E-A33DE3E10EEB}" type="TxLink">
            <a:rPr lang="en-US" sz="1100" b="1" i="0" u="none" strike="noStrike">
              <a:solidFill>
                <a:srgbClr val="FF0000"/>
              </a:solidFill>
              <a:latin typeface="Calibri"/>
              <a:ea typeface="Calibri"/>
              <a:cs typeface="Calibri"/>
            </a:rPr>
            <a:pPr/>
            <a:t>382.4%</a:t>
          </a:fld>
          <a:endParaRPr lang="en-US" sz="1100" b="1"/>
        </a:p>
      </xdr:txBody>
    </xdr:sp>
    <xdr:clientData/>
  </xdr:twoCellAnchor>
  <xdr:twoCellAnchor>
    <xdr:from>
      <xdr:col>79</xdr:col>
      <xdr:colOff>66675</xdr:colOff>
      <xdr:row>79</xdr:row>
      <xdr:rowOff>123825</xdr:rowOff>
    </xdr:from>
    <xdr:to>
      <xdr:col>83</xdr:col>
      <xdr:colOff>104775</xdr:colOff>
      <xdr:row>80</xdr:row>
      <xdr:rowOff>132310</xdr:rowOff>
    </xdr:to>
    <xdr:sp macro="" textlink="BS12">
      <xdr:nvSpPr>
        <xdr:cNvPr id="60" name="TextBox 59">
          <a:extLst>
            <a:ext uri="{FF2B5EF4-FFF2-40B4-BE49-F238E27FC236}">
              <a16:creationId xmlns:a16="http://schemas.microsoft.com/office/drawing/2014/main" id="{2B1BE55E-EF3D-4890-AF69-AF8001AC83F5}"/>
            </a:ext>
          </a:extLst>
        </xdr:cNvPr>
        <xdr:cNvSpPr txBox="1"/>
      </xdr:nvSpPr>
      <xdr:spPr>
        <a:xfrm>
          <a:off x="14363700" y="18183225"/>
          <a:ext cx="76200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7235E69-29E3-4B53-B9C5-576D4B9881D2}" type="TxLink">
            <a:rPr lang="en-US" sz="1100" b="0" i="0" u="none" strike="noStrike">
              <a:solidFill>
                <a:srgbClr val="0E9ED9"/>
              </a:solidFill>
              <a:latin typeface="Calibri"/>
              <a:ea typeface="Calibri"/>
              <a:cs typeface="Calibri"/>
            </a:rPr>
            <a:pPr/>
            <a:t>595.8%</a:t>
          </a:fld>
          <a:endParaRPr lang="en-US" sz="1100"/>
        </a:p>
      </xdr:txBody>
    </xdr:sp>
    <xdr:clientData/>
  </xdr:twoCellAnchor>
  <xdr:twoCellAnchor>
    <xdr:from>
      <xdr:col>75</xdr:col>
      <xdr:colOff>104775</xdr:colOff>
      <xdr:row>78</xdr:row>
      <xdr:rowOff>200025</xdr:rowOff>
    </xdr:from>
    <xdr:to>
      <xdr:col>79</xdr:col>
      <xdr:colOff>9525</xdr:colOff>
      <xdr:row>79</xdr:row>
      <xdr:rowOff>208510</xdr:rowOff>
    </xdr:to>
    <xdr:sp macro="" textlink="CZ8">
      <xdr:nvSpPr>
        <xdr:cNvPr id="61" name="TextBox 60">
          <a:extLst>
            <a:ext uri="{FF2B5EF4-FFF2-40B4-BE49-F238E27FC236}">
              <a16:creationId xmlns:a16="http://schemas.microsoft.com/office/drawing/2014/main" id="{A33CCA1D-4945-4BE6-9A91-C2548CD21629}"/>
            </a:ext>
          </a:extLst>
        </xdr:cNvPr>
        <xdr:cNvSpPr txBox="1"/>
      </xdr:nvSpPr>
      <xdr:spPr>
        <a:xfrm>
          <a:off x="13677900" y="18030825"/>
          <a:ext cx="62865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14D6484-F2CB-4D08-891A-36A58A3B33C8}" type="TxLink">
            <a:rPr lang="en-US" sz="1100" b="1" i="0" u="none" strike="noStrike">
              <a:solidFill>
                <a:srgbClr val="FF0000"/>
              </a:solidFill>
              <a:latin typeface="Calibri"/>
              <a:ea typeface="Calibri"/>
              <a:cs typeface="Calibri"/>
            </a:rPr>
            <a:pPr/>
            <a:t>2543</a:t>
          </a:fld>
          <a:endParaRPr lang="en-US" sz="1100" b="1">
            <a:solidFill>
              <a:srgbClr val="FF0000"/>
            </a:solidFill>
          </a:endParaRPr>
        </a:p>
      </xdr:txBody>
    </xdr:sp>
    <xdr:clientData/>
  </xdr:twoCellAnchor>
  <xdr:twoCellAnchor>
    <xdr:from>
      <xdr:col>75</xdr:col>
      <xdr:colOff>95250</xdr:colOff>
      <xdr:row>79</xdr:row>
      <xdr:rowOff>104775</xdr:rowOff>
    </xdr:from>
    <xdr:to>
      <xdr:col>79</xdr:col>
      <xdr:colOff>0</xdr:colOff>
      <xdr:row>80</xdr:row>
      <xdr:rowOff>113260</xdr:rowOff>
    </xdr:to>
    <xdr:sp macro="" textlink="EG11">
      <xdr:nvSpPr>
        <xdr:cNvPr id="62" name="TextBox 61">
          <a:extLst>
            <a:ext uri="{FF2B5EF4-FFF2-40B4-BE49-F238E27FC236}">
              <a16:creationId xmlns:a16="http://schemas.microsoft.com/office/drawing/2014/main" id="{679E8C1C-0C4B-40DA-ABC0-579FDA3CA8FD}"/>
            </a:ext>
          </a:extLst>
        </xdr:cNvPr>
        <xdr:cNvSpPr txBox="1"/>
      </xdr:nvSpPr>
      <xdr:spPr>
        <a:xfrm>
          <a:off x="13668375" y="18164175"/>
          <a:ext cx="62865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986BF96-F5B2-494A-AEAD-B393D4259142}" type="TxLink">
            <a:rPr lang="en-US" sz="1100" b="1" i="0" u="none" strike="noStrike">
              <a:solidFill>
                <a:srgbClr val="00B0F0"/>
              </a:solidFill>
              <a:latin typeface="Calibri"/>
              <a:ea typeface="Calibri"/>
              <a:cs typeface="Calibri"/>
            </a:rPr>
            <a:pPr/>
            <a:t>3962</a:t>
          </a:fld>
          <a:endParaRPr lang="en-US" sz="1100" b="1">
            <a:solidFill>
              <a:srgbClr val="00B0F0"/>
            </a:solidFill>
          </a:endParaRPr>
        </a:p>
      </xdr:txBody>
    </xdr:sp>
    <xdr:clientData/>
  </xdr:twoCellAnchor>
  <xdr:twoCellAnchor>
    <xdr:from>
      <xdr:col>62</xdr:col>
      <xdr:colOff>114300</xdr:colOff>
      <xdr:row>91</xdr:row>
      <xdr:rowOff>38100</xdr:rowOff>
    </xdr:from>
    <xdr:to>
      <xdr:col>83</xdr:col>
      <xdr:colOff>19050</xdr:colOff>
      <xdr:row>95</xdr:row>
      <xdr:rowOff>214993</xdr:rowOff>
    </xdr:to>
    <xdr:sp macro="" textlink="">
      <xdr:nvSpPr>
        <xdr:cNvPr id="63" name="TextBox 62">
          <a:extLst>
            <a:ext uri="{FF2B5EF4-FFF2-40B4-BE49-F238E27FC236}">
              <a16:creationId xmlns:a16="http://schemas.microsoft.com/office/drawing/2014/main" id="{466E8E27-6B3A-4094-B021-023C99326B84}"/>
            </a:ext>
          </a:extLst>
        </xdr:cNvPr>
        <xdr:cNvSpPr txBox="1"/>
      </xdr:nvSpPr>
      <xdr:spPr>
        <a:xfrm>
          <a:off x="11334750" y="20840700"/>
          <a:ext cx="3705225" cy="1091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One-line diagram showing analysis results for two system configurations: the first, shown in </a:t>
          </a:r>
          <a:r>
            <a:rPr lang="en-US" sz="1100" b="1">
              <a:solidFill>
                <a:srgbClr val="FF0000"/>
              </a:solidFill>
              <a:effectLst/>
              <a:latin typeface="+mn-lt"/>
              <a:ea typeface="+mn-ea"/>
              <a:cs typeface="+mn-cs"/>
            </a:rPr>
            <a:t>red text</a:t>
          </a:r>
          <a:r>
            <a:rPr lang="en-US" sz="1100">
              <a:solidFill>
                <a:schemeClr val="dk1"/>
              </a:solidFill>
              <a:effectLst/>
              <a:latin typeface="+mn-lt"/>
              <a:ea typeface="+mn-ea"/>
              <a:cs typeface="+mn-cs"/>
            </a:rPr>
            <a:t>, represents operation with no assistance from the MotorVAR. A standard accross the line motor start. The second, shown in </a:t>
          </a:r>
          <a:r>
            <a:rPr lang="en-US" sz="1100" b="1">
              <a:solidFill>
                <a:srgbClr val="00B0F0"/>
              </a:solidFill>
              <a:effectLst/>
              <a:latin typeface="+mn-lt"/>
              <a:ea typeface="+mn-ea"/>
              <a:cs typeface="+mn-cs"/>
            </a:rPr>
            <a:t>light blue</a:t>
          </a:r>
          <a:r>
            <a:rPr lang="en-US" sz="1100">
              <a:solidFill>
                <a:schemeClr val="dk1"/>
              </a:solidFill>
              <a:effectLst/>
              <a:latin typeface="+mn-lt"/>
              <a:ea typeface="+mn-ea"/>
              <a:cs typeface="+mn-cs"/>
            </a:rPr>
            <a:t>, represents the</a:t>
          </a:r>
          <a:r>
            <a:rPr lang="en-US" sz="1100" baseline="0">
              <a:solidFill>
                <a:schemeClr val="dk1"/>
              </a:solidFill>
              <a:effectLst/>
              <a:latin typeface="+mn-lt"/>
              <a:ea typeface="+mn-ea"/>
              <a:cs typeface="+mn-cs"/>
            </a:rPr>
            <a:t> performance of the MotorVAR system.</a:t>
          </a:r>
          <a:endParaRPr lang="en-US" sz="1100"/>
        </a:p>
      </xdr:txBody>
    </xdr:sp>
    <xdr:clientData/>
  </xdr:twoCellAnchor>
</xdr:wsDr>
</file>

<file path=xl/drawings/drawing6.xml><?xml version="1.0" encoding="utf-8"?>
<c:userShapes xmlns:c="http://schemas.openxmlformats.org/drawingml/2006/chart">
  <cdr:relSizeAnchor xmlns:cdr="http://schemas.openxmlformats.org/drawingml/2006/chartDrawing">
    <cdr:from>
      <cdr:x>0.6969</cdr:x>
      <cdr:y>0.34043</cdr:y>
    </cdr:from>
    <cdr:to>
      <cdr:x>0.95189</cdr:x>
      <cdr:y>0.59831</cdr:y>
    </cdr:to>
    <cdr:sp macro="" textlink="">
      <cdr:nvSpPr>
        <cdr:cNvPr id="3" name="TextBox 2">
          <a:extLst xmlns:a="http://schemas.openxmlformats.org/drawingml/2006/main">
            <a:ext uri="{FF2B5EF4-FFF2-40B4-BE49-F238E27FC236}">
              <a16:creationId xmlns:a16="http://schemas.microsoft.com/office/drawing/2014/main" id="{70DDCE72-E470-F5A7-E8E9-17D23400F2EE}"/>
            </a:ext>
          </a:extLst>
        </cdr:cNvPr>
        <cdr:cNvSpPr txBox="1"/>
      </cdr:nvSpPr>
      <cdr:spPr>
        <a:xfrm xmlns:a="http://schemas.openxmlformats.org/drawingml/2006/main">
          <a:off x="4894168" y="1307726"/>
          <a:ext cx="1790700" cy="990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0.68877</cdr:x>
      <cdr:y>0.28836</cdr:y>
    </cdr:from>
    <cdr:to>
      <cdr:x>0.9763</cdr:x>
      <cdr:y>0.57847</cdr:y>
    </cdr:to>
    <cdr:sp macro="" textlink="">
      <cdr:nvSpPr>
        <cdr:cNvPr id="4" name="TextBox 3">
          <a:extLst xmlns:a="http://schemas.openxmlformats.org/drawingml/2006/main">
            <a:ext uri="{FF2B5EF4-FFF2-40B4-BE49-F238E27FC236}">
              <a16:creationId xmlns:a16="http://schemas.microsoft.com/office/drawing/2014/main" id="{6E111F01-544B-7DF7-E1D8-92DD06011B4C}"/>
            </a:ext>
          </a:extLst>
        </cdr:cNvPr>
        <cdr:cNvSpPr txBox="1"/>
      </cdr:nvSpPr>
      <cdr:spPr>
        <a:xfrm xmlns:a="http://schemas.openxmlformats.org/drawingml/2006/main">
          <a:off x="4837018" y="1107701"/>
          <a:ext cx="2019300" cy="1114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0.69826</cdr:x>
      <cdr:y>0.271</cdr:y>
    </cdr:from>
    <cdr:to>
      <cdr:x>0.93968</cdr:x>
      <cdr:y>0.56607</cdr:y>
    </cdr:to>
    <cdr:sp macro="" textlink="">
      <cdr:nvSpPr>
        <cdr:cNvPr id="5" name="TextBox 4">
          <a:extLst xmlns:a="http://schemas.openxmlformats.org/drawingml/2006/main">
            <a:ext uri="{FF2B5EF4-FFF2-40B4-BE49-F238E27FC236}">
              <a16:creationId xmlns:a16="http://schemas.microsoft.com/office/drawing/2014/main" id="{44BC2E09-2715-0F8C-2CCF-068E32103E3A}"/>
            </a:ext>
          </a:extLst>
        </cdr:cNvPr>
        <cdr:cNvSpPr txBox="1"/>
      </cdr:nvSpPr>
      <cdr:spPr>
        <a:xfrm xmlns:a="http://schemas.openxmlformats.org/drawingml/2006/main">
          <a:off x="4903693" y="1041026"/>
          <a:ext cx="1695450" cy="1133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0.70911</cdr:x>
      <cdr:y>0.30572</cdr:y>
    </cdr:from>
    <cdr:to>
      <cdr:x>0.98173</cdr:x>
      <cdr:y>0.56111</cdr:y>
    </cdr:to>
    <cdr:sp macro="" textlink="">
      <cdr:nvSpPr>
        <cdr:cNvPr id="6" name="TextBox 5">
          <a:extLst xmlns:a="http://schemas.openxmlformats.org/drawingml/2006/main">
            <a:ext uri="{FF2B5EF4-FFF2-40B4-BE49-F238E27FC236}">
              <a16:creationId xmlns:a16="http://schemas.microsoft.com/office/drawing/2014/main" id="{D2921E1F-225D-78F3-84A0-87A3EA34FF9D}"/>
            </a:ext>
          </a:extLst>
        </cdr:cNvPr>
        <cdr:cNvSpPr txBox="1"/>
      </cdr:nvSpPr>
      <cdr:spPr>
        <a:xfrm xmlns:a="http://schemas.openxmlformats.org/drawingml/2006/main">
          <a:off x="4979893" y="1174376"/>
          <a:ext cx="1914525" cy="981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0.71014</cdr:x>
      <cdr:y>0.30737</cdr:y>
    </cdr:from>
    <cdr:to>
      <cdr:x>0.97101</cdr:x>
      <cdr:y>0.5868</cdr:y>
    </cdr:to>
    <cdr:sp macro="" textlink="">
      <cdr:nvSpPr>
        <cdr:cNvPr id="2" name="TextBox 1">
          <a:extLst xmlns:a="http://schemas.openxmlformats.org/drawingml/2006/main">
            <a:ext uri="{FF2B5EF4-FFF2-40B4-BE49-F238E27FC236}">
              <a16:creationId xmlns:a16="http://schemas.microsoft.com/office/drawing/2014/main" id="{8E9DACCA-76B8-D57D-2C63-E713AD67C599}"/>
            </a:ext>
          </a:extLst>
        </cdr:cNvPr>
        <cdr:cNvSpPr txBox="1"/>
      </cdr:nvSpPr>
      <cdr:spPr>
        <a:xfrm xmlns:a="http://schemas.openxmlformats.org/drawingml/2006/main">
          <a:off x="4941793" y="1158688"/>
          <a:ext cx="1815353" cy="10533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userShapes>
</file>

<file path=xl/drawings/drawing7.xml><?xml version="1.0" encoding="utf-8"?>
<xdr:wsDr xmlns:xdr="http://schemas.openxmlformats.org/drawingml/2006/spreadsheetDrawing" xmlns:a="http://schemas.openxmlformats.org/drawingml/2006/main">
  <xdr:twoCellAnchor>
    <xdr:from>
      <xdr:col>29</xdr:col>
      <xdr:colOff>28575</xdr:colOff>
      <xdr:row>127</xdr:row>
      <xdr:rowOff>180975</xdr:rowOff>
    </xdr:from>
    <xdr:to>
      <xdr:col>38</xdr:col>
      <xdr:colOff>93410</xdr:colOff>
      <xdr:row>128</xdr:row>
      <xdr:rowOff>189460</xdr:rowOff>
    </xdr:to>
    <xdr:sp macro="" textlink="BH15">
      <xdr:nvSpPr>
        <xdr:cNvPr id="31" name="TextBox 30">
          <a:extLst>
            <a:ext uri="{FF2B5EF4-FFF2-40B4-BE49-F238E27FC236}">
              <a16:creationId xmlns:a16="http://schemas.microsoft.com/office/drawing/2014/main" id="{87450E64-D50D-4C03-902E-9369BD3477F2}"/>
            </a:ext>
          </a:extLst>
        </xdr:cNvPr>
        <xdr:cNvSpPr txBox="1"/>
      </xdr:nvSpPr>
      <xdr:spPr>
        <a:xfrm>
          <a:off x="5276850" y="29213175"/>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5CECED1-D129-43E0-9F22-203483DB49D4}" type="TxLink">
            <a:rPr lang="en-US" sz="1100" b="1" i="0" u="none" strike="noStrike">
              <a:solidFill>
                <a:srgbClr val="FF0000"/>
              </a:solidFill>
              <a:latin typeface="Calibri"/>
              <a:ea typeface="Calibri"/>
              <a:cs typeface="Calibri"/>
            </a:rPr>
            <a:pPr/>
            <a:t>39.1%</a:t>
          </a:fld>
          <a:endParaRPr lang="en-US" sz="1100"/>
        </a:p>
      </xdr:txBody>
    </xdr:sp>
    <xdr:clientData/>
  </xdr:twoCellAnchor>
  <xdr:twoCellAnchor>
    <xdr:from>
      <xdr:col>26</xdr:col>
      <xdr:colOff>156757</xdr:colOff>
      <xdr:row>113</xdr:row>
      <xdr:rowOff>113990</xdr:rowOff>
    </xdr:from>
    <xdr:to>
      <xdr:col>34</xdr:col>
      <xdr:colOff>65682</xdr:colOff>
      <xdr:row>114</xdr:row>
      <xdr:rowOff>125196</xdr:rowOff>
    </xdr:to>
    <xdr:sp macro="" textlink="BX22">
      <xdr:nvSpPr>
        <xdr:cNvPr id="25" name="TextBox 24">
          <a:extLst>
            <a:ext uri="{FF2B5EF4-FFF2-40B4-BE49-F238E27FC236}">
              <a16:creationId xmlns:a16="http://schemas.microsoft.com/office/drawing/2014/main" id="{99C242B3-1FF0-480D-A488-1AEE17BE5ADD}"/>
            </a:ext>
          </a:extLst>
        </xdr:cNvPr>
        <xdr:cNvSpPr txBox="1"/>
      </xdr:nvSpPr>
      <xdr:spPr>
        <a:xfrm rot="19260591">
          <a:off x="4862107" y="25945790"/>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DD9B35B-13CA-471D-B68A-203085A4EA4C}" type="TxLink">
            <a:rPr lang="en-US" sz="1100" b="1" i="0" u="none" strike="noStrike">
              <a:solidFill>
                <a:srgbClr val="0070C0"/>
              </a:solidFill>
              <a:latin typeface="Calibri"/>
              <a:ea typeface="Calibri"/>
              <a:cs typeface="Calibri"/>
            </a:rPr>
            <a:pPr/>
            <a:t>96.5%</a:t>
          </a:fld>
          <a:endParaRPr lang="en-US" sz="1100"/>
        </a:p>
      </xdr:txBody>
    </xdr:sp>
    <xdr:clientData/>
  </xdr:twoCellAnchor>
  <xdr:twoCellAnchor>
    <xdr:from>
      <xdr:col>26</xdr:col>
      <xdr:colOff>54395</xdr:colOff>
      <xdr:row>112</xdr:row>
      <xdr:rowOff>170750</xdr:rowOff>
    </xdr:from>
    <xdr:to>
      <xdr:col>34</xdr:col>
      <xdr:colOff>116052</xdr:colOff>
      <xdr:row>113</xdr:row>
      <xdr:rowOff>181956</xdr:rowOff>
    </xdr:to>
    <xdr:sp macro="" textlink="BP22">
      <xdr:nvSpPr>
        <xdr:cNvPr id="24" name="TextBox 23">
          <a:extLst>
            <a:ext uri="{FF2B5EF4-FFF2-40B4-BE49-F238E27FC236}">
              <a16:creationId xmlns:a16="http://schemas.microsoft.com/office/drawing/2014/main" id="{8CC75777-67D1-49D1-937B-F623F07834A3}"/>
            </a:ext>
          </a:extLst>
        </xdr:cNvPr>
        <xdr:cNvSpPr txBox="1"/>
      </xdr:nvSpPr>
      <xdr:spPr>
        <a:xfrm rot="19260591">
          <a:off x="4759745" y="25773950"/>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3E293C8-4374-492C-982E-63C65209C99C}" type="TxLink">
            <a:rPr lang="en-US" sz="1100" b="1" i="0" u="none" strike="noStrike">
              <a:solidFill>
                <a:srgbClr val="0E9ED9"/>
              </a:solidFill>
              <a:latin typeface="Calibri"/>
              <a:ea typeface="Calibri"/>
              <a:cs typeface="Calibri"/>
            </a:rPr>
            <a:pPr/>
            <a:t>84.5%</a:t>
          </a:fld>
          <a:endParaRPr lang="en-US" sz="1100"/>
        </a:p>
      </xdr:txBody>
    </xdr:sp>
    <xdr:clientData/>
  </xdr:twoCellAnchor>
  <xdr:twoCellAnchor>
    <xdr:from>
      <xdr:col>2</xdr:col>
      <xdr:colOff>62753</xdr:colOff>
      <xdr:row>14</xdr:row>
      <xdr:rowOff>56029</xdr:rowOff>
    </xdr:from>
    <xdr:to>
      <xdr:col>41</xdr:col>
      <xdr:colOff>28575</xdr:colOff>
      <xdr:row>20</xdr:row>
      <xdr:rowOff>190500</xdr:rowOff>
    </xdr:to>
    <xdr:sp macro="" textlink="">
      <xdr:nvSpPr>
        <xdr:cNvPr id="2" name="TextBox 1">
          <a:extLst>
            <a:ext uri="{FF2B5EF4-FFF2-40B4-BE49-F238E27FC236}">
              <a16:creationId xmlns:a16="http://schemas.microsoft.com/office/drawing/2014/main" id="{BD208AC2-A442-4FBC-88E3-A717C0CDF592}"/>
            </a:ext>
          </a:extLst>
        </xdr:cNvPr>
        <xdr:cNvSpPr txBox="1"/>
      </xdr:nvSpPr>
      <xdr:spPr>
        <a:xfrm>
          <a:off x="421341" y="3193676"/>
          <a:ext cx="6958293" cy="1479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t>This spreadsheet </a:t>
          </a:r>
          <a:r>
            <a:rPr lang="en-US" b="0"/>
            <a:t>provides preliminary sizing and voltage-performance evaluation of VarStec’s MotorVAR + Line Reactor solution for large medium-voltage motor starting. It models a simplified system including the utility source, transformer, motor bus with MotorVAR support, and a series line reactor. The tool determines the required line reactor impedance (ohms) and MotorVAR reactive power needed to meet voltage-performance targets during motor starting. Inputs such as utility short-circuit strength, transformer data, motor parameters, and reactor impedance enable rapid iteration to limit inrush current while maintaining acceptable bus and motor terminal voltage. This worksheet extends the MotorVAR-only analysis by explicitly accounting for the combined effects of reactive support and reactor current limiting effect on motor-starting performance.</a:t>
          </a:r>
        </a:p>
      </xdr:txBody>
    </xdr:sp>
    <xdr:clientData/>
  </xdr:twoCellAnchor>
  <xdr:twoCellAnchor editAs="oneCell">
    <xdr:from>
      <xdr:col>1</xdr:col>
      <xdr:colOff>123826</xdr:colOff>
      <xdr:row>2</xdr:row>
      <xdr:rowOff>38100</xdr:rowOff>
    </xdr:from>
    <xdr:to>
      <xdr:col>12</xdr:col>
      <xdr:colOff>76201</xdr:colOff>
      <xdr:row>6</xdr:row>
      <xdr:rowOff>95250</xdr:rowOff>
    </xdr:to>
    <xdr:pic>
      <xdr:nvPicPr>
        <xdr:cNvPr id="4" name="Picture 3">
          <a:extLst>
            <a:ext uri="{FF2B5EF4-FFF2-40B4-BE49-F238E27FC236}">
              <a16:creationId xmlns:a16="http://schemas.microsoft.com/office/drawing/2014/main" id="{CBBE0C85-9AA6-469F-BCFA-05E0621D83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5" name="Picture 4">
          <a:extLst>
            <a:ext uri="{FF2B5EF4-FFF2-40B4-BE49-F238E27FC236}">
              <a16:creationId xmlns:a16="http://schemas.microsoft.com/office/drawing/2014/main" id="{56AFFBB3-6666-45B4-9DF7-01A7FC8B3C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298074"/>
          <a:ext cx="1638301" cy="819151"/>
        </a:xfrm>
        <a:prstGeom prst="rect">
          <a:avLst/>
        </a:prstGeom>
      </xdr:spPr>
    </xdr:pic>
    <xdr:clientData/>
  </xdr:oneCellAnchor>
  <xdr:oneCellAnchor>
    <xdr:from>
      <xdr:col>32</xdr:col>
      <xdr:colOff>19049</xdr:colOff>
      <xdr:row>50</xdr:row>
      <xdr:rowOff>73956</xdr:rowOff>
    </xdr:from>
    <xdr:ext cx="1638301" cy="819151"/>
    <xdr:pic>
      <xdr:nvPicPr>
        <xdr:cNvPr id="6" name="Picture 5">
          <a:extLst>
            <a:ext uri="{FF2B5EF4-FFF2-40B4-BE49-F238E27FC236}">
              <a16:creationId xmlns:a16="http://schemas.microsoft.com/office/drawing/2014/main" id="{AF16C119-C99B-4016-9F20-72003B3BE8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6461" y="11279838"/>
          <a:ext cx="1638301" cy="819151"/>
        </a:xfrm>
        <a:prstGeom prst="rect">
          <a:avLst/>
        </a:prstGeom>
      </xdr:spPr>
    </xdr:pic>
    <xdr:clientData/>
  </xdr:oneCellAnchor>
  <xdr:oneCellAnchor>
    <xdr:from>
      <xdr:col>74</xdr:col>
      <xdr:colOff>19049</xdr:colOff>
      <xdr:row>50</xdr:row>
      <xdr:rowOff>73956</xdr:rowOff>
    </xdr:from>
    <xdr:ext cx="1638301" cy="819151"/>
    <xdr:pic>
      <xdr:nvPicPr>
        <xdr:cNvPr id="7" name="Picture 6">
          <a:extLst>
            <a:ext uri="{FF2B5EF4-FFF2-40B4-BE49-F238E27FC236}">
              <a16:creationId xmlns:a16="http://schemas.microsoft.com/office/drawing/2014/main" id="{EC9B2D2A-F517-4D81-AC85-520655686D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11279838"/>
          <a:ext cx="1638301" cy="819151"/>
        </a:xfrm>
        <a:prstGeom prst="rect">
          <a:avLst/>
        </a:prstGeom>
      </xdr:spPr>
    </xdr:pic>
    <xdr:clientData/>
  </xdr:oneCellAnchor>
  <xdr:oneCellAnchor>
    <xdr:from>
      <xdr:col>32</xdr:col>
      <xdr:colOff>19049</xdr:colOff>
      <xdr:row>99</xdr:row>
      <xdr:rowOff>73956</xdr:rowOff>
    </xdr:from>
    <xdr:ext cx="1638301" cy="819151"/>
    <xdr:pic>
      <xdr:nvPicPr>
        <xdr:cNvPr id="8" name="Picture 7">
          <a:extLst>
            <a:ext uri="{FF2B5EF4-FFF2-40B4-BE49-F238E27FC236}">
              <a16:creationId xmlns:a16="http://schemas.microsoft.com/office/drawing/2014/main" id="{DF352508-579C-404F-9572-B12F8CEF92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6461" y="22261603"/>
          <a:ext cx="1638301" cy="819151"/>
        </a:xfrm>
        <a:prstGeom prst="rect">
          <a:avLst/>
        </a:prstGeom>
      </xdr:spPr>
    </xdr:pic>
    <xdr:clientData/>
  </xdr:oneCellAnchor>
  <xdr:oneCellAnchor>
    <xdr:from>
      <xdr:col>74</xdr:col>
      <xdr:colOff>19049</xdr:colOff>
      <xdr:row>99</xdr:row>
      <xdr:rowOff>73956</xdr:rowOff>
    </xdr:from>
    <xdr:ext cx="1638301" cy="819151"/>
    <xdr:pic>
      <xdr:nvPicPr>
        <xdr:cNvPr id="9" name="Picture 8">
          <a:extLst>
            <a:ext uri="{FF2B5EF4-FFF2-40B4-BE49-F238E27FC236}">
              <a16:creationId xmlns:a16="http://schemas.microsoft.com/office/drawing/2014/main" id="{921B5BF4-AAFB-484D-BB4B-99809C0FF4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22261603"/>
          <a:ext cx="1638301" cy="819151"/>
        </a:xfrm>
        <a:prstGeom prst="rect">
          <a:avLst/>
        </a:prstGeom>
      </xdr:spPr>
    </xdr:pic>
    <xdr:clientData/>
  </xdr:oneCellAnchor>
  <xdr:oneCellAnchor>
    <xdr:from>
      <xdr:col>32</xdr:col>
      <xdr:colOff>19049</xdr:colOff>
      <xdr:row>148</xdr:row>
      <xdr:rowOff>73956</xdr:rowOff>
    </xdr:from>
    <xdr:ext cx="1638301" cy="819151"/>
    <xdr:pic>
      <xdr:nvPicPr>
        <xdr:cNvPr id="10" name="Picture 9">
          <a:extLst>
            <a:ext uri="{FF2B5EF4-FFF2-40B4-BE49-F238E27FC236}">
              <a16:creationId xmlns:a16="http://schemas.microsoft.com/office/drawing/2014/main" id="{72BC50A7-A13B-4C2D-A9A4-475F536AE9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6461" y="33243368"/>
          <a:ext cx="1638301" cy="819151"/>
        </a:xfrm>
        <a:prstGeom prst="rect">
          <a:avLst/>
        </a:prstGeom>
      </xdr:spPr>
    </xdr:pic>
    <xdr:clientData/>
  </xdr:oneCellAnchor>
  <xdr:oneCellAnchor>
    <xdr:from>
      <xdr:col>74</xdr:col>
      <xdr:colOff>19049</xdr:colOff>
      <xdr:row>148</xdr:row>
      <xdr:rowOff>73956</xdr:rowOff>
    </xdr:from>
    <xdr:ext cx="1638301" cy="819151"/>
    <xdr:pic>
      <xdr:nvPicPr>
        <xdr:cNvPr id="11" name="Picture 10">
          <a:extLst>
            <a:ext uri="{FF2B5EF4-FFF2-40B4-BE49-F238E27FC236}">
              <a16:creationId xmlns:a16="http://schemas.microsoft.com/office/drawing/2014/main" id="{6219DDB8-C3C4-48A7-B89A-596D3052FE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86814" y="33243368"/>
          <a:ext cx="1638301" cy="819151"/>
        </a:xfrm>
        <a:prstGeom prst="rect">
          <a:avLst/>
        </a:prstGeom>
      </xdr:spPr>
    </xdr:pic>
    <xdr:clientData/>
  </xdr:oneCellAnchor>
  <xdr:twoCellAnchor>
    <xdr:from>
      <xdr:col>1</xdr:col>
      <xdr:colOff>173936</xdr:colOff>
      <xdr:row>64</xdr:row>
      <xdr:rowOff>56029</xdr:rowOff>
    </xdr:from>
    <xdr:to>
      <xdr:col>41</xdr:col>
      <xdr:colOff>56029</xdr:colOff>
      <xdr:row>72</xdr:row>
      <xdr:rowOff>223631</xdr:rowOff>
    </xdr:to>
    <xdr:sp macro="" textlink="CI72">
      <xdr:nvSpPr>
        <xdr:cNvPr id="12" name="TextBox 11">
          <a:extLst>
            <a:ext uri="{FF2B5EF4-FFF2-40B4-BE49-F238E27FC236}">
              <a16:creationId xmlns:a16="http://schemas.microsoft.com/office/drawing/2014/main" id="{742BA365-1343-4D5D-B542-BE578E4A7007}"/>
            </a:ext>
          </a:extLst>
        </xdr:cNvPr>
        <xdr:cNvSpPr txBox="1"/>
      </xdr:nvSpPr>
      <xdr:spPr>
        <a:xfrm>
          <a:off x="353230" y="14399558"/>
          <a:ext cx="7053858" cy="1960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69E0D1C-CD5A-4FF9-AB98-A6997BE0B1AA}" type="TxLink">
            <a:rPr lang="en-US" sz="1100" b="0" i="0" u="none" strike="noStrike">
              <a:solidFill>
                <a:srgbClr val="000000"/>
              </a:solidFill>
              <a:latin typeface="Calibri"/>
              <a:ea typeface="Calibri"/>
              <a:cs typeface="Calibri"/>
            </a:rPr>
            <a:pPr/>
            <a:t>Without MotorVAR or reactor start assistance, the motor draws approximately 1099.8 amps (312.5% of FLA) during starting. This high inrush current results in a significant voltage drop, with motor terminal voltage dropping to approximately 7.79 kV, or 62.5% of rated voltage. As a result, available starting torque is reduced to roughly 39.1% of rated torque, increasing the likelihood of extended acceleration times or a stalled start condition.
From a system perspective, voltage at the 34.5 kV PCC drops to approximately 23.08 kV, or 66.9% of nominal, while the 12.47 kV secondary bus voltage falls to 7.79 kV, or 62.5% of rated voltage. These correspond to voltage drops of 33.1% at the PCC and 37.5% at the secondary bus. Typical design objectives require no less than 96% voltage at the PCC and 90% voltage at the motor bus during starting. When these criteria are not met, alternative starting methods are usually evaluated.</a:t>
          </a:fld>
          <a:endParaRPr lang="en-US" sz="1100"/>
        </a:p>
      </xdr:txBody>
    </xdr:sp>
    <xdr:clientData/>
  </xdr:twoCellAnchor>
  <xdr:twoCellAnchor>
    <xdr:from>
      <xdr:col>1</xdr:col>
      <xdr:colOff>165164</xdr:colOff>
      <xdr:row>84</xdr:row>
      <xdr:rowOff>56517</xdr:rowOff>
    </xdr:from>
    <xdr:to>
      <xdr:col>41</xdr:col>
      <xdr:colOff>100853</xdr:colOff>
      <xdr:row>94</xdr:row>
      <xdr:rowOff>212911</xdr:rowOff>
    </xdr:to>
    <xdr:sp macro="" textlink="CI75">
      <xdr:nvSpPr>
        <xdr:cNvPr id="13" name="TextBox 12">
          <a:extLst>
            <a:ext uri="{FF2B5EF4-FFF2-40B4-BE49-F238E27FC236}">
              <a16:creationId xmlns:a16="http://schemas.microsoft.com/office/drawing/2014/main" id="{C5FE0E40-5FEB-4120-8D47-3E05FB899B78}"/>
            </a:ext>
          </a:extLst>
        </xdr:cNvPr>
        <xdr:cNvSpPr txBox="1"/>
      </xdr:nvSpPr>
      <xdr:spPr>
        <a:xfrm>
          <a:off x="344458" y="18882399"/>
          <a:ext cx="7107454" cy="2397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0017DD14-05CC-4DCE-B4C7-487011F40A24}" type="TxLink">
            <a:rPr lang="en-US" sz="1100" b="0" i="0" u="none" strike="noStrike">
              <a:solidFill>
                <a:srgbClr val="000000"/>
              </a:solidFill>
              <a:latin typeface="Calibri"/>
              <a:ea typeface="Calibri"/>
              <a:cs typeface="Calibri"/>
            </a:rPr>
            <a:pPr marL="0" indent="0"/>
            <a:t>When adding a coordinated line reactor, the combined MotorVAR + Reactor system provides additional improvement in overall system performance compared to a MotorVAR-only solution. During motor starting, the 34.5 kV bus voltage improves from 84.5% to 96.5% of nominal, while the 12.47kV bus voltage improves from 82.6% to 96.2%.
This improvement is driven by the current-limiting action of the line reactor (1.64 ohms). While current limiting improves voltage performance, it also reduces the current delivered to the motor and, consequently, the available starting torque. In this case, motor starting torque is reduced from 68.2% with MotorVAR only to approximately 47.5% with the combined MotorVAR + Reactor system.
It is therefore critical to verify that the available starting torque remains sufficient to accelerate the driven load under all expected starting conditions.</a:t>
          </a:fld>
          <a:endParaRPr lang="en-US" sz="1100" b="0" i="0" u="none" strike="noStrike">
            <a:solidFill>
              <a:srgbClr val="000000"/>
            </a:solidFill>
            <a:latin typeface="Calibri"/>
            <a:ea typeface="Calibri"/>
            <a:cs typeface="Calibri"/>
          </a:endParaRPr>
        </a:p>
      </xdr:txBody>
    </xdr:sp>
    <xdr:clientData/>
  </xdr:twoCellAnchor>
  <xdr:twoCellAnchor>
    <xdr:from>
      <xdr:col>2</xdr:col>
      <xdr:colOff>60512</xdr:colOff>
      <xdr:row>56</xdr:row>
      <xdr:rowOff>22412</xdr:rowOff>
    </xdr:from>
    <xdr:to>
      <xdr:col>41</xdr:col>
      <xdr:colOff>46383</xdr:colOff>
      <xdr:row>61</xdr:row>
      <xdr:rowOff>168090</xdr:rowOff>
    </xdr:to>
    <xdr:sp macro="" textlink="CI69">
      <xdr:nvSpPr>
        <xdr:cNvPr id="15" name="TextBox 14">
          <a:extLst>
            <a:ext uri="{FF2B5EF4-FFF2-40B4-BE49-F238E27FC236}">
              <a16:creationId xmlns:a16="http://schemas.microsoft.com/office/drawing/2014/main" id="{F5EB9CDD-F06C-4734-A3D3-83B4D3B9E748}"/>
            </a:ext>
          </a:extLst>
        </xdr:cNvPr>
        <xdr:cNvSpPr txBox="1"/>
      </xdr:nvSpPr>
      <xdr:spPr>
        <a:xfrm>
          <a:off x="422462" y="12824012"/>
          <a:ext cx="7043896" cy="1288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DBBC6D6E-3828-4444-8C0F-5E14EE0C55C1}" type="TxLink">
            <a:rPr lang="en-US" sz="1050" b="0" i="0" u="none" strike="noStrike">
              <a:solidFill>
                <a:srgbClr val="000000"/>
              </a:solidFill>
              <a:latin typeface="Calibri"/>
              <a:ea typeface="Calibri"/>
              <a:cs typeface="Calibri"/>
            </a:rPr>
            <a:pPr/>
            <a:t>This analysis evaluates the starting performance of a 9,923 HP, 12.47 kV motor supplied from a 34.5 kV utility system at the point of common coupling (PCC). The available utility short-circuit strength at the PCC is 1.2 kA (3-phase) with an X/R ratio of 7, feeding the motor through a 40 MVA, 34.5 kV–12.47 kV step-down transformer with 7.5% leakage impedance.
The motor has a full-load current (FLA) of 351.9 amps, a locked-rotor current (LRA) of 500% of FLA, a rated efficiency of 97.4%, and a power factor of 90%. To enhance starting performance and mitigate system disturbances, a starting reactor rated at 1.64 ohms is coordinated with a 25 MVAR, 12.47 kV, 4-stage MotorVAR system to provide controlled, high-performance starting assistance.</a:t>
          </a:fld>
          <a:endParaRPr lang="en-US" sz="1050"/>
        </a:p>
      </xdr:txBody>
    </xdr:sp>
    <xdr:clientData/>
  </xdr:twoCellAnchor>
  <xdr:twoCellAnchor editAs="oneCell">
    <xdr:from>
      <xdr:col>21</xdr:col>
      <xdr:colOff>57988</xdr:colOff>
      <xdr:row>22</xdr:row>
      <xdr:rowOff>168088</xdr:rowOff>
    </xdr:from>
    <xdr:to>
      <xdr:col>38</xdr:col>
      <xdr:colOff>56026</xdr:colOff>
      <xdr:row>45</xdr:row>
      <xdr:rowOff>78441</xdr:rowOff>
    </xdr:to>
    <xdr:pic>
      <xdr:nvPicPr>
        <xdr:cNvPr id="21" name="Graphic 20">
          <a:extLst>
            <a:ext uri="{FF2B5EF4-FFF2-40B4-BE49-F238E27FC236}">
              <a16:creationId xmlns:a16="http://schemas.microsoft.com/office/drawing/2014/main" id="{FECEE3D7-2BEA-153D-2855-D995000379B5}"/>
            </a:ext>
          </a:extLst>
        </xdr:cNvPr>
        <xdr:cNvPicPr>
          <a:picLocks noChangeAspect="1"/>
        </xdr:cNvPicPr>
      </xdr:nvPicPr>
      <xdr:blipFill rotWithShape="1">
        <a:blip xmlns:r="http://schemas.openxmlformats.org/officeDocument/2006/relationships" r:embed="rId3">
          <a:extLst>
            <a:ext uri="{96DAC541-7B7A-43D3-8B79-37D633B846F1}">
              <asvg:svgBlip xmlns:asvg="http://schemas.microsoft.com/office/drawing/2016/SVG/main" r:embed="rId4"/>
            </a:ext>
          </a:extLst>
        </a:blip>
        <a:srcRect l="26572" t="13424" r="23173" b="21116"/>
        <a:stretch>
          <a:fillRect/>
        </a:stretch>
      </xdr:blipFill>
      <xdr:spPr>
        <a:xfrm>
          <a:off x="3823164" y="5098676"/>
          <a:ext cx="3046038" cy="5065059"/>
        </a:xfrm>
        <a:prstGeom prst="rect">
          <a:avLst/>
        </a:prstGeom>
      </xdr:spPr>
    </xdr:pic>
    <xdr:clientData/>
  </xdr:twoCellAnchor>
  <xdr:twoCellAnchor>
    <xdr:from>
      <xdr:col>44</xdr:col>
      <xdr:colOff>5603</xdr:colOff>
      <xdr:row>70</xdr:row>
      <xdr:rowOff>1121</xdr:rowOff>
    </xdr:from>
    <xdr:to>
      <xdr:col>83</xdr:col>
      <xdr:colOff>11206</xdr:colOff>
      <xdr:row>91</xdr:row>
      <xdr:rowOff>190500</xdr:rowOff>
    </xdr:to>
    <xdr:graphicFrame macro="">
      <xdr:nvGraphicFramePr>
        <xdr:cNvPr id="20" name="Chart 19">
          <a:extLst>
            <a:ext uri="{FF2B5EF4-FFF2-40B4-BE49-F238E27FC236}">
              <a16:creationId xmlns:a16="http://schemas.microsoft.com/office/drawing/2014/main" id="{5AC0BA46-1804-E054-2DF7-3B117462A5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74</xdr:row>
      <xdr:rowOff>1</xdr:rowOff>
    </xdr:from>
    <xdr:to>
      <xdr:col>41</xdr:col>
      <xdr:colOff>67235</xdr:colOff>
      <xdr:row>82</xdr:row>
      <xdr:rowOff>89648</xdr:rowOff>
    </xdr:to>
    <xdr:sp macro="" textlink="CI77">
      <xdr:nvSpPr>
        <xdr:cNvPr id="3" name="TextBox 2">
          <a:extLst>
            <a:ext uri="{FF2B5EF4-FFF2-40B4-BE49-F238E27FC236}">
              <a16:creationId xmlns:a16="http://schemas.microsoft.com/office/drawing/2014/main" id="{03640406-4EAA-BF4E-CC03-D1DED8312B59}"/>
            </a:ext>
          </a:extLst>
        </xdr:cNvPr>
        <xdr:cNvSpPr txBox="1"/>
      </xdr:nvSpPr>
      <xdr:spPr>
        <a:xfrm>
          <a:off x="358588" y="16584707"/>
          <a:ext cx="7059706" cy="1882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0F78919-7983-440D-942B-39AE48AE6C7E}" type="TxLink">
            <a:rPr lang="en-US" sz="1100" b="0" i="0" u="none" strike="noStrike">
              <a:solidFill>
                <a:srgbClr val="000000"/>
              </a:solidFill>
              <a:latin typeface="Calibri"/>
              <a:ea typeface="Calibri"/>
              <a:cs typeface="Calibri"/>
            </a:rPr>
            <a:pPr/>
            <a:t>With the MotorVAR system engaged and line reactor out of service or bypassed, the motor starting performance improves significantly. Motor starting current increases to approximately 1453.5 amps (413% of FLA), while motor terminal voltage is maintained near 10.3 kV, or 82.6% of rated voltage. This allows the motor to develop approximately 68.2% of rated torque during starting, resulting in stronger acceleration and improved starting stability. 
System voltage performance is also significantly improved. Voltage at the 34.5kV PCC and the 12.5kV secondary bus are maintained at approximately 96.5% and 96.2% of nominal, respectively. The starting current reflected into the 34.5kV and 12.5kV systems is reduced to approximately 156.3 %FLA, substantially mitigating upstream system disturbances. As the motor transitions into synchronism, the 4 stage MotorVAR system limits the voltage fluctuations to approximately ±4.95%% of the nominal voltage at the 12.5kV bus.</a:t>
          </a:fld>
          <a:endParaRPr lang="en-US" sz="1100"/>
        </a:p>
      </xdr:txBody>
    </xdr:sp>
    <xdr:clientData/>
  </xdr:twoCellAnchor>
  <xdr:twoCellAnchor>
    <xdr:from>
      <xdr:col>43</xdr:col>
      <xdr:colOff>138953</xdr:colOff>
      <xdr:row>55</xdr:row>
      <xdr:rowOff>212911</xdr:rowOff>
    </xdr:from>
    <xdr:to>
      <xdr:col>82</xdr:col>
      <xdr:colOff>114140</xdr:colOff>
      <xdr:row>70</xdr:row>
      <xdr:rowOff>65670</xdr:rowOff>
    </xdr:to>
    <xdr:sp macro="" textlink="">
      <xdr:nvSpPr>
        <xdr:cNvPr id="17" name="TextBox 16">
          <a:extLst>
            <a:ext uri="{FF2B5EF4-FFF2-40B4-BE49-F238E27FC236}">
              <a16:creationId xmlns:a16="http://schemas.microsoft.com/office/drawing/2014/main" id="{84236675-E0FB-449A-AC9C-5F26BF903A63}"/>
            </a:ext>
          </a:extLst>
        </xdr:cNvPr>
        <xdr:cNvSpPr txBox="1"/>
      </xdr:nvSpPr>
      <xdr:spPr>
        <a:xfrm>
          <a:off x="7920878" y="12785911"/>
          <a:ext cx="7033212" cy="32817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MotorVAR delivers fast, localized reactive power exactly where it is needed—at the motor bus—fundamentally improving the way large medium-voltage motors are started. It can be applied independently or coordinated with other starting methods, such as RVSS or reactor-start systems, to extend their effective range and further improve performance. By actively supporting voltage during acceleration, MotorVAR mitigates voltage sag, improves power quality, and preserves starting torque, enabling the use of simple across-the-line starting without compromising system performance or plant reliability.</a:t>
          </a:r>
        </a:p>
        <a:p>
          <a:br>
            <a:rPr lang="en-US"/>
          </a:br>
          <a:r>
            <a:rPr lang="en-US"/>
            <a:t>The MotorVAR system seamlessly coordinates with a wide range of motor-starting solutions. It is a high-speed, switched capacitor bank designed to be transient-free during both energization and de-energization. This approach eliminates the complexity, footprint, and operational burden typically associated with ASD/VFD solutions, synchronous bypass switchgear, E-house requirements, and the extended startup, commissioning, and lifecycle costs that accompany those systems.</a:t>
          </a:r>
          <a:br>
            <a:rPr lang="en-US"/>
          </a:br>
          <a:endParaRPr lang="en-US"/>
        </a:p>
        <a:p>
          <a:r>
            <a:rPr lang="en-US"/>
            <a:t>A single MotorVAR installation can support multiple large motors on the same electrical system, often eliminating the need for dedicated starting equipment at each motor. Shared or cross-tie starting configurations can further improve project economics. The result is a robust, practical motor-starting solution that minimizes system disturbance while significantly reducing project complexity, cost, and risk.</a:t>
          </a:r>
        </a:p>
      </xdr:txBody>
    </xdr:sp>
    <xdr:clientData/>
  </xdr:twoCellAnchor>
  <xdr:twoCellAnchor editAs="oneCell">
    <xdr:from>
      <xdr:col>9</xdr:col>
      <xdr:colOff>56029</xdr:colOff>
      <xdr:row>106</xdr:row>
      <xdr:rowOff>201706</xdr:rowOff>
    </xdr:from>
    <xdr:to>
      <xdr:col>31</xdr:col>
      <xdr:colOff>112058</xdr:colOff>
      <xdr:row>136</xdr:row>
      <xdr:rowOff>130349</xdr:rowOff>
    </xdr:to>
    <xdr:pic>
      <xdr:nvPicPr>
        <xdr:cNvPr id="18" name="Graphic 17">
          <a:extLst>
            <a:ext uri="{FF2B5EF4-FFF2-40B4-BE49-F238E27FC236}">
              <a16:creationId xmlns:a16="http://schemas.microsoft.com/office/drawing/2014/main" id="{1C4C8588-0145-4B89-A1D6-D7550B841AA5}"/>
            </a:ext>
          </a:extLst>
        </xdr:cNvPr>
        <xdr:cNvPicPr>
          <a:picLocks noChangeAspect="1"/>
        </xdr:cNvPicPr>
      </xdr:nvPicPr>
      <xdr:blipFill rotWithShape="1">
        <a:blip xmlns:r="http://schemas.openxmlformats.org/officeDocument/2006/relationships" r:embed="rId6">
          <a:extLst>
            <a:ext uri="{96DAC541-7B7A-43D3-8B79-37D633B846F1}">
              <asvg:svgBlip xmlns:asvg="http://schemas.microsoft.com/office/drawing/2016/SVG/main" r:embed="rId7"/>
            </a:ext>
          </a:extLst>
        </a:blip>
        <a:srcRect l="26572" t="13424" r="23173" b="21116"/>
        <a:stretch>
          <a:fillRect/>
        </a:stretch>
      </xdr:blipFill>
      <xdr:spPr>
        <a:xfrm>
          <a:off x="1669676" y="23958177"/>
          <a:ext cx="4000500" cy="6652172"/>
        </a:xfrm>
        <a:prstGeom prst="rect">
          <a:avLst/>
        </a:prstGeom>
      </xdr:spPr>
    </xdr:pic>
    <xdr:clientData/>
  </xdr:twoCellAnchor>
  <xdr:twoCellAnchor>
    <xdr:from>
      <xdr:col>43</xdr:col>
      <xdr:colOff>134470</xdr:colOff>
      <xdr:row>107</xdr:row>
      <xdr:rowOff>100853</xdr:rowOff>
    </xdr:from>
    <xdr:to>
      <xdr:col>82</xdr:col>
      <xdr:colOff>134470</xdr:colOff>
      <xdr:row>133</xdr:row>
      <xdr:rowOff>219075</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8150B90B-F348-B95F-D668-EE363BC688AF}"/>
                </a:ext>
              </a:extLst>
            </xdr:cNvPr>
            <xdr:cNvSpPr txBox="1"/>
          </xdr:nvSpPr>
          <xdr:spPr>
            <a:xfrm>
              <a:off x="7916395" y="24561053"/>
              <a:ext cx="7058025" cy="60618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spreadsheet implements a steady-state impedance model to estimate motor starting current, voltage sag, and available starting torque for a simplified medium-voltage motor starting system. All calculations are performed per phase using complex impedances.</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modeled system consists of a utility source at the point of common coupling (PCC), source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oMath>
              </a14:m>
              <a:r>
                <a:rPr lang="en-US" sz="1100">
                  <a:solidFill>
                    <a:schemeClr val="dk1"/>
                  </a:solidFill>
                  <a:effectLst/>
                  <a:latin typeface="+mn-lt"/>
                  <a:ea typeface="+mn-ea"/>
                  <a:cs typeface="+mn-cs"/>
                </a:rPr>
                <a:t>, transformer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𝑇</m:t>
                      </m:r>
                    </m:sub>
                  </m:sSub>
                </m:oMath>
              </a14:m>
              <a:r>
                <a:rPr lang="en-US" sz="1100">
                  <a:solidFill>
                    <a:schemeClr val="dk1"/>
                  </a:solidFill>
                  <a:effectLst/>
                  <a:latin typeface="+mn-lt"/>
                  <a:ea typeface="+mn-ea"/>
                  <a:cs typeface="+mn-cs"/>
                </a:rPr>
                <a:t>, a secondary bus that also serves as the motor bus, an optional series line reactor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𝑅</m:t>
                      </m:r>
                    </m:sub>
                  </m:sSub>
                </m:oMath>
              </a14:m>
              <a:r>
                <a:rPr lang="en-US" sz="1100">
                  <a:solidFill>
                    <a:schemeClr val="dk1"/>
                  </a:solidFill>
                  <a:effectLst/>
                  <a:latin typeface="+mn-lt"/>
                  <a:ea typeface="+mn-ea"/>
                  <a:cs typeface="+mn-cs"/>
                </a:rPr>
                <a:t>, and an induction motor represented by its locked-rotor impedance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a14:m>
              <a:r>
                <a:rPr lang="en-US" sz="1100">
                  <a:solidFill>
                    <a:schemeClr val="dk1"/>
                  </a:solidFill>
                  <a:effectLst/>
                  <a:latin typeface="+mn-lt"/>
                  <a:ea typeface="+mn-ea"/>
                  <a:cs typeface="+mn-cs"/>
                </a:rPr>
                <a:t>. A MotorVAR capacitor bank is modeled as a shunt capacitive reactance connected at the secondary bus. No additional line or cable impedance between the bus and motor is assumed. The motor rated voltage may differ from the secondary bus voltage.</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Complex impedances are expressed as: </a:t>
              </a:r>
              <a14:m>
                <m:oMath xmlns:m="http://schemas.openxmlformats.org/officeDocument/2006/math">
                  <m:r>
                    <a:rPr lang="en-US" sz="1100" i="1">
                      <a:solidFill>
                        <a:schemeClr val="dk1"/>
                      </a:solidFill>
                      <a:effectLst/>
                      <a:latin typeface="Cambria Math" panose="02040503050406030204" pitchFamily="18" charset="0"/>
                      <a:ea typeface="+mn-ea"/>
                      <a:cs typeface="+mn-cs"/>
                    </a:rPr>
                    <m:t>𝑍</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𝑅</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𝑗𝑋</m:t>
                  </m:r>
                </m:oMath>
              </a14:m>
              <a:r>
                <a:rPr lang="en-US" sz="1100">
                  <a:solidFill>
                    <a:schemeClr val="dk1"/>
                  </a:solidFill>
                  <a:effectLst/>
                  <a:latin typeface="+mn-lt"/>
                  <a:ea typeface="+mn-ea"/>
                  <a:cs typeface="+mn-cs"/>
                </a:rPr>
                <a:t>. Line-to-line and phase voltages are related by: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𝐿𝐿</m:t>
                          </m:r>
                        </m:sub>
                      </m:sSub>
                    </m:num>
                    <m:den>
                      <m:rad>
                        <m:radPr>
                          <m:degHide m:val="on"/>
                          <m:ctrlPr>
                            <a:rPr lang="en-US" sz="1100" i="1">
                              <a:solidFill>
                                <a:schemeClr val="dk1"/>
                              </a:solidFill>
                              <a:effectLst/>
                              <a:latin typeface="Cambria Math" panose="02040503050406030204" pitchFamily="18" charset="0"/>
                              <a:ea typeface="+mn-ea"/>
                              <a:cs typeface="+mn-cs"/>
                            </a:rPr>
                          </m:ctrlPr>
                        </m:radPr>
                        <m:deg/>
                        <m:e>
                          <m:r>
                            <a:rPr lang="en-US" sz="1100" i="1">
                              <a:solidFill>
                                <a:schemeClr val="dk1"/>
                              </a:solidFill>
                              <a:effectLst/>
                              <a:latin typeface="Cambria Math" panose="02040503050406030204" pitchFamily="18" charset="0"/>
                              <a:ea typeface="+mn-ea"/>
                              <a:cs typeface="+mn-cs"/>
                            </a:rPr>
                            <m:t>3</m:t>
                          </m:r>
                        </m:e>
                      </m:rad>
                    </m:den>
                  </m:f>
                </m:oMath>
              </a14:m>
              <a:r>
                <a:rPr lang="en-US" sz="1100">
                  <a:solidFill>
                    <a:schemeClr val="dk1"/>
                  </a:solidFill>
                  <a:effectLst/>
                  <a:latin typeface="+mn-lt"/>
                  <a:ea typeface="+mn-ea"/>
                  <a:cs typeface="+mn-cs"/>
                </a:rPr>
                <a:t>.  The total upstream impedance is defined as: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𝑆</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𝑇</m:t>
                      </m:r>
                    </m:sub>
                  </m:sSub>
                </m:oMath>
              </a14:m>
              <a:r>
                <a:rPr lang="en-US" sz="1100">
                  <a:solidFill>
                    <a:schemeClr val="dk1"/>
                  </a:solidFill>
                  <a:effectLst/>
                  <a:latin typeface="+mn-lt"/>
                  <a:ea typeface="+mn-ea"/>
                  <a:cs typeface="+mn-cs"/>
                </a:rPr>
                <a:t>.  Motor starting torque is approximated using the square-law voltage relationship: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𝑇</m:t>
                      </m:r>
                    </m:e>
                    <m:sub>
                      <m:r>
                        <a:rPr lang="en-US" sz="1100" i="1">
                          <a:solidFill>
                            <a:schemeClr val="dk1"/>
                          </a:solidFill>
                          <a:effectLst/>
                          <a:latin typeface="Cambria Math" panose="02040503050406030204" pitchFamily="18" charset="0"/>
                          <a:ea typeface="+mn-ea"/>
                          <a:cs typeface="+mn-cs"/>
                        </a:rPr>
                        <m:t>𝑠𝑡𝑎𝑟𝑡</m:t>
                      </m:r>
                      <m:r>
                        <a:rPr lang="en-US" sz="1100" i="1">
                          <a:solidFill>
                            <a:schemeClr val="dk1"/>
                          </a:solidFill>
                          <a:effectLst/>
                          <a:latin typeface="Cambria Math" panose="02040503050406030204" pitchFamily="18" charset="0"/>
                          <a:ea typeface="+mn-ea"/>
                          <a:cs typeface="+mn-cs"/>
                        </a:rPr>
                        <m:t>,</m:t>
                      </m:r>
                      <m:r>
                        <a:rPr lang="en-US" sz="1100">
                          <a:solidFill>
                            <a:schemeClr val="dk1"/>
                          </a:solidFill>
                          <a:effectLst/>
                          <a:latin typeface="Cambria Math" panose="02040503050406030204" pitchFamily="18" charset="0"/>
                          <a:ea typeface="+mn-ea"/>
                          <a:cs typeface="+mn-cs"/>
                        </a:rPr>
                        <m:t>%</m:t>
                      </m:r>
                    </m:sub>
                  </m:sSub>
                  <m:r>
                    <a:rPr lang="en-US" sz="1100" i="1">
                      <a:solidFill>
                        <a:schemeClr val="dk1"/>
                      </a:solidFill>
                      <a:effectLst/>
                      <a:latin typeface="Cambria Math" panose="02040503050406030204" pitchFamily="18" charset="0"/>
                      <a:ea typeface="+mn-ea"/>
                      <a:cs typeface="+mn-cs"/>
                    </a:rPr>
                    <m:t>≈100</m:t>
                  </m:r>
                  <m:r>
                    <a:rPr lang="en-US" sz="1100">
                      <a:solidFill>
                        <a:schemeClr val="dk1"/>
                      </a:solidFill>
                      <a:effectLst/>
                      <a:latin typeface="Cambria Math" panose="02040503050406030204" pitchFamily="18" charset="0"/>
                      <a:ea typeface="+mn-ea"/>
                      <a:cs typeface="+mn-cs"/>
                    </a:rPr>
                    <m:t>%</m:t>
                  </m:r>
                  <m:sSup>
                    <m:sSupPr>
                      <m:ctrlPr>
                        <a:rPr lang="en-US" sz="1100" i="1">
                          <a:solidFill>
                            <a:schemeClr val="dk1"/>
                          </a:solidFill>
                          <a:effectLst/>
                          <a:latin typeface="Cambria Math" panose="02040503050406030204" pitchFamily="18" charset="0"/>
                          <a:ea typeface="+mn-ea"/>
                          <a:cs typeface="+mn-cs"/>
                        </a:rPr>
                      </m:ctrlPr>
                    </m:sSupPr>
                    <m:e>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r>
                                <a:rPr lang="en-US" sz="1100">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𝐿𝐿</m:t>
                                  </m:r>
                                </m:sub>
                              </m:sSub>
                              <m:r>
                                <a:rPr lang="en-US" sz="1100">
                                  <a:solidFill>
                                    <a:schemeClr val="dk1"/>
                                  </a:solidFill>
                                  <a:effectLst/>
                                  <a:latin typeface="Cambria Math" panose="02040503050406030204" pitchFamily="18" charset="0"/>
                                  <a:ea typeface="+mn-ea"/>
                                  <a:cs typeface="+mn-cs"/>
                                </a:rPr>
                                <m:t>∣</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𝑟𝑎𝑡𝑒𝑑</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𝐿𝐿</m:t>
                                  </m:r>
                                </m:sub>
                              </m:sSub>
                            </m:den>
                          </m:f>
                        </m:e>
                      </m:d>
                    </m:e>
                    <m:sup>
                      <m:r>
                        <a:rPr lang="en-US" sz="1100" i="1">
                          <a:solidFill>
                            <a:schemeClr val="dk1"/>
                          </a:solidFill>
                          <a:effectLst/>
                          <a:latin typeface="Cambria Math" panose="02040503050406030204" pitchFamily="18" charset="0"/>
                          <a:ea typeface="+mn-ea"/>
                          <a:cs typeface="+mn-cs"/>
                        </a:rPr>
                        <m:t>2</m:t>
                      </m:r>
                    </m:sup>
                  </m:sSup>
                </m:oMath>
              </a14:m>
              <a:r>
                <a:rPr lang="en-US" sz="1100">
                  <a:solidFill>
                    <a:schemeClr val="dk1"/>
                  </a:solidFill>
                  <a:effectLst/>
                  <a:latin typeface="+mn-lt"/>
                  <a:ea typeface="+mn-ea"/>
                  <a:cs typeface="+mn-cs"/>
                </a:rPr>
                <a:t>.</a:t>
              </a:r>
              <a:br>
                <a:rPr lang="en-US" sz="1100">
                  <a:solidFill>
                    <a:schemeClr val="dk1"/>
                  </a:solidFill>
                  <a:effectLst/>
                  <a:latin typeface="+mn-lt"/>
                  <a:ea typeface="+mn-ea"/>
                  <a:cs typeface="+mn-cs"/>
                </a:rPr>
              </a:b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Baseline Case (No MotorVAR, No Reactor)</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 is connected directly to the secondary bus through the upstream impedance. The equivalent load impedance is: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a14:m>
              <a:r>
                <a:rPr lang="en-US" sz="1100">
                  <a:solidFill>
                    <a:schemeClr val="dk1"/>
                  </a:solidFill>
                  <a:effectLst/>
                  <a:latin typeface="+mn-lt"/>
                  <a:ea typeface="+mn-ea"/>
                  <a:cs typeface="+mn-cs"/>
                </a:rPr>
                <a:t>.  System and motor current: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𝑃𝐶𝐶</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den>
                  </m:f>
                </m:oMath>
              </a14:m>
              <a:r>
                <a:rPr lang="en-US" sz="1100">
                  <a:solidFill>
                    <a:schemeClr val="dk1"/>
                  </a:solidFill>
                  <a:effectLst/>
                  <a:latin typeface="+mn-lt"/>
                  <a:ea typeface="+mn-ea"/>
                  <a:cs typeface="+mn-cs"/>
                </a:rPr>
                <a:t>. Secondary bus and motor terminal voltage: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a14:m>
              <a:r>
                <a:rPr lang="en-US" sz="1100">
                  <a:solidFill>
                    <a:schemeClr val="dk1"/>
                  </a:solidFill>
                  <a:effectLst/>
                  <a:latin typeface="+mn-lt"/>
                  <a:ea typeface="+mn-ea"/>
                  <a:cs typeface="+mn-cs"/>
                </a:rPr>
                <a:t>. This case establishes baseline inrush current, voltage sag, and starting torque.</a:t>
              </a:r>
            </a:p>
            <a:p>
              <a:pPr marL="0" marR="0" lvl="0" indent="0" defTabSz="914400" eaLnBrk="1" fontAlgn="auto" latinLnBrk="0" hangingPunct="1">
                <a:lnSpc>
                  <a:spcPct val="100000"/>
                </a:lnSpc>
                <a:spcBef>
                  <a:spcPts val="0"/>
                </a:spcBef>
                <a:spcAft>
                  <a:spcPts val="0"/>
                </a:spcAft>
                <a:buClrTx/>
                <a:buSzTx/>
                <a:buFontTx/>
                <a:buNone/>
                <a:tabLst/>
                <a:defRPr/>
              </a:pP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MotorVAR-Only Case (Reactor Bypassed)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MotorVAR capacitor bank is connected in parallel with the motor at the secondary bus. The capacitor impedance is: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𝑗</m:t>
                  </m:r>
                  <m:f>
                    <m:fPr>
                      <m:ctrlPr>
                        <a:rPr lang="en-US" sz="1100" i="1">
                          <a:solidFill>
                            <a:schemeClr val="dk1"/>
                          </a:solidFill>
                          <a:effectLst/>
                          <a:latin typeface="Cambria Math" panose="02040503050406030204" pitchFamily="18" charset="0"/>
                          <a:ea typeface="+mn-ea"/>
                          <a:cs typeface="+mn-cs"/>
                        </a:rPr>
                      </m:ctrlPr>
                    </m:fPr>
                    <m:num>
                      <m:sSubSup>
                        <m:sSubSupPr>
                          <m:ctrlPr>
                            <a:rPr lang="en-US" sz="1100" i="1">
                              <a:solidFill>
                                <a:schemeClr val="dk1"/>
                              </a:solidFill>
                              <a:effectLst/>
                              <a:latin typeface="Cambria Math" panose="02040503050406030204" pitchFamily="18" charset="0"/>
                              <a:ea typeface="+mn-ea"/>
                              <a:cs typeface="+mn-cs"/>
                            </a:rPr>
                          </m:ctrlPr>
                        </m:sSubSup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𝐿𝐿</m:t>
                          </m:r>
                        </m:sub>
                        <m:sup>
                          <m:r>
                            <a:rPr lang="en-US" sz="1100" i="1">
                              <a:solidFill>
                                <a:schemeClr val="dk1"/>
                              </a:solidFill>
                              <a:effectLst/>
                              <a:latin typeface="Cambria Math" panose="02040503050406030204" pitchFamily="18" charset="0"/>
                              <a:ea typeface="+mn-ea"/>
                              <a:cs typeface="+mn-cs"/>
                            </a:rPr>
                            <m:t>2</m:t>
                          </m:r>
                        </m:sup>
                      </m:sSubSup>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𝑄</m:t>
                          </m:r>
                        </m:e>
                        <m:sub>
                          <m:r>
                            <a:rPr lang="en-US" sz="1100" i="1">
                              <a:solidFill>
                                <a:schemeClr val="dk1"/>
                              </a:solidFill>
                              <a:effectLst/>
                              <a:latin typeface="Cambria Math" panose="02040503050406030204" pitchFamily="18" charset="0"/>
                              <a:ea typeface="+mn-ea"/>
                              <a:cs typeface="+mn-cs"/>
                            </a:rPr>
                            <m:t>𝑀𝑉</m:t>
                          </m:r>
                        </m:sub>
                      </m:sSub>
                    </m:den>
                  </m:f>
                </m:oMath>
              </a14:m>
              <a:r>
                <a:rPr lang="en-US" sz="1100">
                  <a:solidFill>
                    <a:schemeClr val="dk1"/>
                  </a:solidFill>
                  <a:effectLst/>
                  <a:latin typeface="+mn-lt"/>
                  <a:ea typeface="+mn-ea"/>
                  <a:cs typeface="+mn-cs"/>
                </a:rPr>
                <a:t>.  The equivalent bus impedance is: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oMath>
              </a14:m>
              <a:r>
                <a:rPr lang="en-US" sz="1100">
                  <a:solidFill>
                    <a:schemeClr val="dk1"/>
                  </a:solidFill>
                  <a:effectLst/>
                  <a:latin typeface="+mn-lt"/>
                  <a:ea typeface="+mn-ea"/>
                  <a:cs typeface="+mn-cs"/>
                </a:rPr>
                <a:t>.  System current and bus voltage: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𝑃𝐶𝐶</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den>
                  </m:f>
                </m:oMath>
              </a14:m>
              <a:r>
                <a:rPr lang="en-US" sz="1100">
                  <a:solidFill>
                    <a:schemeClr val="dk1"/>
                  </a:solidFill>
                  <a:effectLst/>
                  <a:latin typeface="+mn-lt"/>
                  <a:ea typeface="+mn-ea"/>
                  <a:cs typeface="+mn-cs"/>
                </a:rPr>
                <a:t>.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den>
                  </m:f>
                </m:oMath>
              </a14:m>
              <a:r>
                <a:rPr lang="en-US" sz="1100">
                  <a:solidFill>
                    <a:schemeClr val="dk1"/>
                  </a:solidFill>
                  <a:effectLst/>
                  <a:latin typeface="+mn-lt"/>
                  <a:ea typeface="+mn-ea"/>
                  <a:cs typeface="+mn-cs"/>
                </a:rPr>
                <a:t>.  Branch currents: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den>
                  </m:f>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𝐶</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den>
                  </m:f>
                </m:oMath>
              </a14:m>
              <a:r>
                <a:rPr lang="en-US" sz="1100">
                  <a:solidFill>
                    <a:schemeClr val="dk1"/>
                  </a:solidFill>
                  <a:effectLst/>
                  <a:latin typeface="+mn-lt"/>
                  <a:ea typeface="+mn-ea"/>
                  <a:cs typeface="+mn-cs"/>
                </a:rPr>
                <a:t>.  Motor terminal voltage equals the bus voltage. System inrush current, motor inrush current, voltage sag, and starting torque are evaluated.</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b="1">
                  <a:solidFill>
                    <a:schemeClr val="dk1"/>
                  </a:solidFill>
                  <a:effectLst/>
                  <a:latin typeface="+mn-lt"/>
                  <a:ea typeface="+mn-ea"/>
                  <a:cs typeface="+mn-cs"/>
                </a:rPr>
                <a:t>MotorVAR + Line Reactor Case</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MotorVAR capacitor remains connected at the secondary bus while a line reactor is inserted in series with the motor. The motor branch impedance becomes: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𝑀𝑅</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𝑅</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oMath>
              </a14:m>
              <a:r>
                <a:rPr lang="en-US" sz="1100">
                  <a:solidFill>
                    <a:schemeClr val="dk1"/>
                  </a:solidFill>
                  <a:effectLst/>
                  <a:latin typeface="+mn-lt"/>
                  <a:ea typeface="+mn-ea"/>
                  <a:cs typeface="+mn-cs"/>
                </a:rPr>
                <a:t>. The equivalent bus impedance is: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𝑀𝑅</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𝐶</m:t>
                      </m:r>
                    </m:sub>
                  </m:sSub>
                </m:oMath>
              </a14:m>
              <a:r>
                <a:rPr lang="en-US" sz="1100">
                  <a:solidFill>
                    <a:schemeClr val="dk1"/>
                  </a:solidFill>
                  <a:effectLst/>
                  <a:latin typeface="+mn-lt"/>
                  <a:ea typeface="+mn-ea"/>
                  <a:cs typeface="+mn-cs"/>
                </a:rPr>
                <a:t>.  System current: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𝑃𝐶𝐶</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den>
                  </m:f>
                </m:oMath>
              </a14:m>
              <a:r>
                <a:rPr lang="en-US" sz="1100">
                  <a:solidFill>
                    <a:schemeClr val="dk1"/>
                  </a:solidFill>
                  <a:effectLst/>
                  <a:latin typeface="+mn-lt"/>
                  <a:ea typeface="+mn-ea"/>
                  <a:cs typeface="+mn-cs"/>
                </a:rPr>
                <a:t> and bus voltage: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𝑠𝑜𝑢𝑟𝑐𝑒</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𝑢𝑝</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𝑒𝑞</m:t>
                          </m:r>
                        </m:sub>
                      </m:sSub>
                    </m:den>
                  </m:f>
                </m:oMath>
              </a14:m>
              <a:r>
                <a:rPr lang="en-US" sz="1100">
                  <a:solidFill>
                    <a:schemeClr val="dk1"/>
                  </a:solidFill>
                  <a:effectLst/>
                  <a:latin typeface="+mn-lt"/>
                  <a:ea typeface="+mn-ea"/>
                  <a:cs typeface="+mn-cs"/>
                </a:rPr>
                <a:t>. Motor branch current: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𝑅</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𝑀</m:t>
                          </m:r>
                        </m:sub>
                      </m:sSub>
                    </m:den>
                  </m:f>
                </m:oMath>
              </a14:m>
              <a:r>
                <a:rPr lang="en-US" sz="1100">
                  <a:solidFill>
                    <a:schemeClr val="dk1"/>
                  </a:solidFill>
                  <a:effectLst/>
                  <a:latin typeface="+mn-lt"/>
                  <a:ea typeface="+mn-ea"/>
                  <a:cs typeface="+mn-cs"/>
                </a:rPr>
                <a:t>.  Motor terminal voltage: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𝑀</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𝑆</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𝑝h</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𝐼</m:t>
                      </m:r>
                    </m:e>
                    <m:sub>
                      <m:r>
                        <a:rPr lang="en-US" sz="1100" i="1">
                          <a:solidFill>
                            <a:schemeClr val="dk1"/>
                          </a:solidFill>
                          <a:effectLst/>
                          <a:latin typeface="Cambria Math" panose="02040503050406030204" pitchFamily="18" charset="0"/>
                          <a:ea typeface="+mn-ea"/>
                          <a:cs typeface="+mn-cs"/>
                        </a:rPr>
                        <m:t>𝑀</m:t>
                      </m:r>
                    </m:sub>
                  </m:sSub>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𝑍</m:t>
                      </m:r>
                    </m:e>
                    <m:sub>
                      <m:r>
                        <a:rPr lang="en-US" sz="1100" i="1">
                          <a:solidFill>
                            <a:schemeClr val="dk1"/>
                          </a:solidFill>
                          <a:effectLst/>
                          <a:latin typeface="Cambria Math" panose="02040503050406030204" pitchFamily="18" charset="0"/>
                          <a:ea typeface="+mn-ea"/>
                          <a:cs typeface="+mn-cs"/>
                        </a:rPr>
                        <m:t>𝑅</m:t>
                      </m:r>
                    </m:sub>
                  </m:sSub>
                </m:oMath>
              </a14:m>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p>
          </xdr:txBody>
        </xdr:sp>
      </mc:Choice>
      <mc:Fallback xmlns="">
        <xdr:sp macro="" textlink="">
          <xdr:nvSpPr>
            <xdr:cNvPr id="14" name="TextBox 13">
              <a:extLst>
                <a:ext uri="{FF2B5EF4-FFF2-40B4-BE49-F238E27FC236}">
                  <a16:creationId xmlns:a16="http://schemas.microsoft.com/office/drawing/2014/main" id="{8150B90B-F348-B95F-D668-EE363BC688AF}"/>
                </a:ext>
              </a:extLst>
            </xdr:cNvPr>
            <xdr:cNvSpPr txBox="1"/>
          </xdr:nvSpPr>
          <xdr:spPr>
            <a:xfrm>
              <a:off x="7916395" y="24561053"/>
              <a:ext cx="7058025" cy="60618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spreadsheet implements a steady-state impedance model to estimate motor starting current, voltage sag, and available starting torque for a simplified medium-voltage motor starting system. All calculations are performed per phase using complex impedances.</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modeled system consists of a utility source at the point of common coupling (PCC), source impedance </a:t>
              </a:r>
              <a:r>
                <a:rPr lang="en-US" sz="1100" i="0">
                  <a:solidFill>
                    <a:schemeClr val="dk1"/>
                  </a:solidFill>
                  <a:effectLst/>
                  <a:latin typeface="Cambria Math" panose="02040503050406030204" pitchFamily="18" charset="0"/>
                  <a:ea typeface="+mn-ea"/>
                  <a:cs typeface="+mn-cs"/>
                </a:rPr>
                <a:t>𝑍_𝑆</a:t>
              </a:r>
              <a:r>
                <a:rPr lang="en-US" sz="1100">
                  <a:solidFill>
                    <a:schemeClr val="dk1"/>
                  </a:solidFill>
                  <a:effectLst/>
                  <a:latin typeface="+mn-lt"/>
                  <a:ea typeface="+mn-ea"/>
                  <a:cs typeface="+mn-cs"/>
                </a:rPr>
                <a:t>, transformer impedance </a:t>
              </a:r>
              <a:r>
                <a:rPr lang="en-US" sz="1100" i="0">
                  <a:solidFill>
                    <a:schemeClr val="dk1"/>
                  </a:solidFill>
                  <a:effectLst/>
                  <a:latin typeface="Cambria Math" panose="02040503050406030204" pitchFamily="18" charset="0"/>
                  <a:ea typeface="+mn-ea"/>
                  <a:cs typeface="+mn-cs"/>
                </a:rPr>
                <a:t>𝑍_𝑇</a:t>
              </a:r>
              <a:r>
                <a:rPr lang="en-US" sz="1100">
                  <a:solidFill>
                    <a:schemeClr val="dk1"/>
                  </a:solidFill>
                  <a:effectLst/>
                  <a:latin typeface="+mn-lt"/>
                  <a:ea typeface="+mn-ea"/>
                  <a:cs typeface="+mn-cs"/>
                </a:rPr>
                <a:t>, a secondary bus that also serves as the motor bus, an optional series line reactor </a:t>
              </a:r>
              <a:r>
                <a:rPr lang="en-US" sz="1100" i="0">
                  <a:solidFill>
                    <a:schemeClr val="dk1"/>
                  </a:solidFill>
                  <a:effectLst/>
                  <a:latin typeface="Cambria Math" panose="02040503050406030204" pitchFamily="18" charset="0"/>
                  <a:ea typeface="+mn-ea"/>
                  <a:cs typeface="+mn-cs"/>
                </a:rPr>
                <a:t>𝑍_𝑅</a:t>
              </a:r>
              <a:r>
                <a:rPr lang="en-US" sz="1100">
                  <a:solidFill>
                    <a:schemeClr val="dk1"/>
                  </a:solidFill>
                  <a:effectLst/>
                  <a:latin typeface="+mn-lt"/>
                  <a:ea typeface="+mn-ea"/>
                  <a:cs typeface="+mn-cs"/>
                </a:rPr>
                <a:t>, and an induction motor represented by its locked-rotor impedance </a:t>
              </a:r>
              <a:r>
                <a:rPr lang="en-US" sz="1100" i="0">
                  <a:solidFill>
                    <a:schemeClr val="dk1"/>
                  </a:solidFill>
                  <a:effectLst/>
                  <a:latin typeface="Cambria Math" panose="02040503050406030204" pitchFamily="18" charset="0"/>
                  <a:ea typeface="+mn-ea"/>
                  <a:cs typeface="+mn-cs"/>
                </a:rPr>
                <a:t>𝑍_𝑀</a:t>
              </a:r>
              <a:r>
                <a:rPr lang="en-US" sz="1100">
                  <a:solidFill>
                    <a:schemeClr val="dk1"/>
                  </a:solidFill>
                  <a:effectLst/>
                  <a:latin typeface="+mn-lt"/>
                  <a:ea typeface="+mn-ea"/>
                  <a:cs typeface="+mn-cs"/>
                </a:rPr>
                <a:t>. A MotorVAR capacitor bank is modeled as a shunt capacitive reactance connected at the secondary bus. No additional line or cable impedance between the bus and motor is assumed. The motor rated voltage may differ from the secondary bus voltage.</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Complex impedances are expressed as: </a:t>
              </a:r>
              <a:r>
                <a:rPr lang="en-US" sz="1100" i="0">
                  <a:solidFill>
                    <a:schemeClr val="dk1"/>
                  </a:solidFill>
                  <a:effectLst/>
                  <a:latin typeface="Cambria Math" panose="02040503050406030204" pitchFamily="18" charset="0"/>
                  <a:ea typeface="+mn-ea"/>
                  <a:cs typeface="+mn-cs"/>
                </a:rPr>
                <a:t>𝑍=𝑅+𝑗𝑋</a:t>
              </a:r>
              <a:r>
                <a:rPr lang="en-US" sz="1100">
                  <a:solidFill>
                    <a:schemeClr val="dk1"/>
                  </a:solidFill>
                  <a:effectLst/>
                  <a:latin typeface="+mn-lt"/>
                  <a:ea typeface="+mn-ea"/>
                  <a:cs typeface="+mn-cs"/>
                </a:rPr>
                <a:t>. Line-to-line and phase voltages are related by: </a:t>
              </a:r>
              <a:r>
                <a:rPr lang="en-US" sz="1100" i="0">
                  <a:solidFill>
                    <a:schemeClr val="dk1"/>
                  </a:solidFill>
                  <a:effectLst/>
                  <a:latin typeface="Cambria Math" panose="02040503050406030204" pitchFamily="18" charset="0"/>
                  <a:ea typeface="+mn-ea"/>
                  <a:cs typeface="+mn-cs"/>
                </a:rPr>
                <a:t>𝑉_𝑝ℎ=𝑉_𝐿𝐿/√3</a:t>
              </a:r>
              <a:r>
                <a:rPr lang="en-US" sz="1100">
                  <a:solidFill>
                    <a:schemeClr val="dk1"/>
                  </a:solidFill>
                  <a:effectLst/>
                  <a:latin typeface="+mn-lt"/>
                  <a:ea typeface="+mn-ea"/>
                  <a:cs typeface="+mn-cs"/>
                </a:rPr>
                <a:t>.  The total upstream impedance is defined as: </a:t>
              </a:r>
              <a:r>
                <a:rPr lang="en-US" sz="1100" i="0">
                  <a:solidFill>
                    <a:schemeClr val="dk1"/>
                  </a:solidFill>
                  <a:effectLst/>
                  <a:latin typeface="Cambria Math" panose="02040503050406030204" pitchFamily="18" charset="0"/>
                  <a:ea typeface="+mn-ea"/>
                  <a:cs typeface="+mn-cs"/>
                </a:rPr>
                <a:t>𝑍_𝑢𝑝=𝑍_𝑆+𝑍_𝑇</a:t>
              </a:r>
              <a:r>
                <a:rPr lang="en-US" sz="1100">
                  <a:solidFill>
                    <a:schemeClr val="dk1"/>
                  </a:solidFill>
                  <a:effectLst/>
                  <a:latin typeface="+mn-lt"/>
                  <a:ea typeface="+mn-ea"/>
                  <a:cs typeface="+mn-cs"/>
                </a:rPr>
                <a:t>.  Motor starting torque is approximated using the square-law voltage relationship: </a:t>
              </a:r>
              <a:r>
                <a:rPr lang="en-US" sz="1100" i="0">
                  <a:solidFill>
                    <a:schemeClr val="dk1"/>
                  </a:solidFill>
                  <a:effectLst/>
                  <a:latin typeface="Cambria Math" panose="02040503050406030204" pitchFamily="18" charset="0"/>
                  <a:ea typeface="+mn-ea"/>
                  <a:cs typeface="+mn-cs"/>
                </a:rPr>
                <a:t>𝑇_(𝑠𝑡𝑎𝑟𝑡,%)≈100%((∣𝑉_(𝑀,𝐿𝐿)∣)/𝑉_(𝑀,𝑟𝑎𝑡𝑒𝑑,𝐿𝐿) )^2</a:t>
              </a:r>
              <a:r>
                <a:rPr lang="en-US" sz="1100">
                  <a:solidFill>
                    <a:schemeClr val="dk1"/>
                  </a:solidFill>
                  <a:effectLst/>
                  <a:latin typeface="+mn-lt"/>
                  <a:ea typeface="+mn-ea"/>
                  <a:cs typeface="+mn-cs"/>
                </a:rPr>
                <a:t>.</a:t>
              </a:r>
              <a:br>
                <a:rPr lang="en-US" sz="1100">
                  <a:solidFill>
                    <a:schemeClr val="dk1"/>
                  </a:solidFill>
                  <a:effectLst/>
                  <a:latin typeface="+mn-lt"/>
                  <a:ea typeface="+mn-ea"/>
                  <a:cs typeface="+mn-cs"/>
                </a:rPr>
              </a:b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Baseline Case (No MotorVAR, No Reactor)</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 is connected directly to the secondary bus through the upstream impedance. The equivalent load impedance is: </a:t>
              </a:r>
              <a:r>
                <a:rPr lang="en-US" sz="1100" i="0">
                  <a:solidFill>
                    <a:schemeClr val="dk1"/>
                  </a:solidFill>
                  <a:effectLst/>
                  <a:latin typeface="Cambria Math" panose="02040503050406030204" pitchFamily="18" charset="0"/>
                  <a:ea typeface="+mn-ea"/>
                  <a:cs typeface="+mn-cs"/>
                </a:rPr>
                <a:t>𝑍_𝑒𝑞=𝑍_𝑀</a:t>
              </a:r>
              <a:r>
                <a:rPr lang="en-US" sz="1100">
                  <a:solidFill>
                    <a:schemeClr val="dk1"/>
                  </a:solidFill>
                  <a:effectLst/>
                  <a:latin typeface="+mn-lt"/>
                  <a:ea typeface="+mn-ea"/>
                  <a:cs typeface="+mn-cs"/>
                </a:rPr>
                <a:t>.  System and motor current: </a:t>
              </a:r>
              <a:r>
                <a:rPr lang="en-US" sz="1100" i="0">
                  <a:solidFill>
                    <a:schemeClr val="dk1"/>
                  </a:solidFill>
                  <a:effectLst/>
                  <a:latin typeface="Cambria Math" panose="02040503050406030204" pitchFamily="18" charset="0"/>
                  <a:ea typeface="+mn-ea"/>
                  <a:cs typeface="+mn-cs"/>
                </a:rPr>
                <a:t>𝐼_𝑃𝐶𝐶=𝐼_𝑀=𝑉_(𝑠𝑜𝑢𝑟𝑐𝑒,𝑝ℎ)/(𝑍_𝑢𝑝+𝑍_𝑀 )</a:t>
              </a:r>
              <a:r>
                <a:rPr lang="en-US" sz="1100">
                  <a:solidFill>
                    <a:schemeClr val="dk1"/>
                  </a:solidFill>
                  <a:effectLst/>
                  <a:latin typeface="+mn-lt"/>
                  <a:ea typeface="+mn-ea"/>
                  <a:cs typeface="+mn-cs"/>
                </a:rPr>
                <a:t>. Secondary bus and motor terminal voltage: </a:t>
              </a:r>
              <a:r>
                <a:rPr lang="en-US" sz="1100" i="0">
                  <a:solidFill>
                    <a:schemeClr val="dk1"/>
                  </a:solidFill>
                  <a:effectLst/>
                  <a:latin typeface="Cambria Math" panose="02040503050406030204" pitchFamily="18" charset="0"/>
                  <a:ea typeface="+mn-ea"/>
                  <a:cs typeface="+mn-cs"/>
                </a:rPr>
                <a:t>𝑉_(𝑆,𝑝ℎ)=𝑉_(𝑀,𝑝ℎ)=𝐼_𝑀 𝑍_𝑀</a:t>
              </a:r>
              <a:r>
                <a:rPr lang="en-US" sz="1100">
                  <a:solidFill>
                    <a:schemeClr val="dk1"/>
                  </a:solidFill>
                  <a:effectLst/>
                  <a:latin typeface="+mn-lt"/>
                  <a:ea typeface="+mn-ea"/>
                  <a:cs typeface="+mn-cs"/>
                </a:rPr>
                <a:t>. This case establishes baseline inrush current, voltage sag, and starting torque.</a:t>
              </a:r>
            </a:p>
            <a:p>
              <a:pPr marL="0" marR="0" lvl="0" indent="0" defTabSz="914400" eaLnBrk="1" fontAlgn="auto" latinLnBrk="0" hangingPunct="1">
                <a:lnSpc>
                  <a:spcPct val="100000"/>
                </a:lnSpc>
                <a:spcBef>
                  <a:spcPts val="0"/>
                </a:spcBef>
                <a:spcAft>
                  <a:spcPts val="0"/>
                </a:spcAft>
                <a:buClrTx/>
                <a:buSzTx/>
                <a:buFontTx/>
                <a:buNone/>
                <a:tabLst/>
                <a:defRPr/>
              </a:pP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MotorVAR-Only Case (Reactor Bypassed)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MotorVAR capacitor bank is connected in parallel with the motor at the secondary bus. The capacitor impedance is:  </a:t>
              </a:r>
              <a:r>
                <a:rPr lang="en-US" sz="1100" i="0">
                  <a:solidFill>
                    <a:schemeClr val="dk1"/>
                  </a:solidFill>
                  <a:effectLst/>
                  <a:latin typeface="Cambria Math" panose="02040503050406030204" pitchFamily="18" charset="0"/>
                  <a:ea typeface="+mn-ea"/>
                  <a:cs typeface="+mn-cs"/>
                </a:rPr>
                <a:t>𝑍_𝐶=−𝑗 (𝑉_(𝑆,𝐿𝐿)^2)/𝑄_𝑀𝑉 </a:t>
              </a:r>
              <a:r>
                <a:rPr lang="en-US" sz="1100">
                  <a:solidFill>
                    <a:schemeClr val="dk1"/>
                  </a:solidFill>
                  <a:effectLst/>
                  <a:latin typeface="+mn-lt"/>
                  <a:ea typeface="+mn-ea"/>
                  <a:cs typeface="+mn-cs"/>
                </a:rPr>
                <a:t>.  The equivalent bus impedance is: </a:t>
              </a:r>
              <a:r>
                <a:rPr lang="en-US" sz="1100" i="0">
                  <a:solidFill>
                    <a:schemeClr val="dk1"/>
                  </a:solidFill>
                  <a:effectLst/>
                  <a:latin typeface="Cambria Math" panose="02040503050406030204" pitchFamily="18" charset="0"/>
                  <a:ea typeface="+mn-ea"/>
                  <a:cs typeface="+mn-cs"/>
                </a:rPr>
                <a:t>𝑍_𝑒𝑞=𝑍_𝑀∥𝑍_𝐶</a:t>
              </a:r>
              <a:r>
                <a:rPr lang="en-US" sz="1100">
                  <a:solidFill>
                    <a:schemeClr val="dk1"/>
                  </a:solidFill>
                  <a:effectLst/>
                  <a:latin typeface="+mn-lt"/>
                  <a:ea typeface="+mn-ea"/>
                  <a:cs typeface="+mn-cs"/>
                </a:rPr>
                <a:t>.  System current and bus voltage: </a:t>
              </a:r>
              <a:r>
                <a:rPr lang="en-US" sz="1100" i="0">
                  <a:solidFill>
                    <a:schemeClr val="dk1"/>
                  </a:solidFill>
                  <a:effectLst/>
                  <a:latin typeface="Cambria Math" panose="02040503050406030204" pitchFamily="18" charset="0"/>
                  <a:ea typeface="+mn-ea"/>
                  <a:cs typeface="+mn-cs"/>
                </a:rPr>
                <a:t>𝐼_𝑃𝐶𝐶=𝑉_(𝑠𝑜𝑢𝑟𝑐𝑒,𝑝ℎ)/(𝑍_𝑢𝑝+𝑍_𝑒𝑞 )</a:t>
              </a:r>
              <a:r>
                <a:rPr lang="en-US" sz="1100">
                  <a:solidFill>
                    <a:schemeClr val="dk1"/>
                  </a:solidFill>
                  <a:effectLst/>
                  <a:latin typeface="+mn-lt"/>
                  <a:ea typeface="+mn-ea"/>
                  <a:cs typeface="+mn-cs"/>
                </a:rPr>
                <a:t>.  </a:t>
              </a:r>
              <a:r>
                <a:rPr lang="en-US" sz="1100" i="0">
                  <a:solidFill>
                    <a:schemeClr val="dk1"/>
                  </a:solidFill>
                  <a:effectLst/>
                  <a:latin typeface="Cambria Math" panose="02040503050406030204" pitchFamily="18" charset="0"/>
                  <a:ea typeface="+mn-ea"/>
                  <a:cs typeface="+mn-cs"/>
                </a:rPr>
                <a:t>𝑉_(𝑆,𝑝ℎ)=𝑉_(𝑠𝑜𝑢𝑟𝑐𝑒,𝑝ℎ)  𝑍_𝑒𝑞/(𝑍_𝑢𝑝+𝑍_𝑒𝑞 )</a:t>
              </a:r>
              <a:r>
                <a:rPr lang="en-US" sz="1100">
                  <a:solidFill>
                    <a:schemeClr val="dk1"/>
                  </a:solidFill>
                  <a:effectLst/>
                  <a:latin typeface="+mn-lt"/>
                  <a:ea typeface="+mn-ea"/>
                  <a:cs typeface="+mn-cs"/>
                </a:rPr>
                <a:t>.  Branch currents: </a:t>
              </a:r>
              <a:r>
                <a:rPr lang="en-US" sz="1100" i="0">
                  <a:solidFill>
                    <a:schemeClr val="dk1"/>
                  </a:solidFill>
                  <a:effectLst/>
                  <a:latin typeface="Cambria Math" panose="02040503050406030204" pitchFamily="18" charset="0"/>
                  <a:ea typeface="+mn-ea"/>
                  <a:cs typeface="+mn-cs"/>
                </a:rPr>
                <a:t>𝐼_𝑀=𝑉_(𝑆,𝑝ℎ)/𝑍_𝑀 ,𝐼_𝐶=𝑉_(𝑆,𝑝ℎ)/𝑍_𝐶 </a:t>
              </a:r>
              <a:r>
                <a:rPr lang="en-US" sz="1100">
                  <a:solidFill>
                    <a:schemeClr val="dk1"/>
                  </a:solidFill>
                  <a:effectLst/>
                  <a:latin typeface="+mn-lt"/>
                  <a:ea typeface="+mn-ea"/>
                  <a:cs typeface="+mn-cs"/>
                </a:rPr>
                <a:t>.  Motor terminal voltage equals the bus voltage. System inrush current, motor inrush current, voltage sag, and starting torque are evaluated.</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b="1">
                  <a:solidFill>
                    <a:schemeClr val="dk1"/>
                  </a:solidFill>
                  <a:effectLst/>
                  <a:latin typeface="+mn-lt"/>
                  <a:ea typeface="+mn-ea"/>
                  <a:cs typeface="+mn-cs"/>
                </a:rPr>
                <a:t>MotorVAR + Line Reactor Case</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MotorVAR capacitor remains connected at the secondary bus while a line reactor is inserted in series with the motor. The motor branch impedance becomes: </a:t>
              </a:r>
              <a:r>
                <a:rPr lang="en-US" sz="1100" i="0">
                  <a:solidFill>
                    <a:schemeClr val="dk1"/>
                  </a:solidFill>
                  <a:effectLst/>
                  <a:latin typeface="Cambria Math" panose="02040503050406030204" pitchFamily="18" charset="0"/>
                  <a:ea typeface="+mn-ea"/>
                  <a:cs typeface="+mn-cs"/>
                </a:rPr>
                <a:t>𝑍_𝑀𝑅=𝑍_𝑅+𝑍_𝑀</a:t>
              </a:r>
              <a:r>
                <a:rPr lang="en-US" sz="1100">
                  <a:solidFill>
                    <a:schemeClr val="dk1"/>
                  </a:solidFill>
                  <a:effectLst/>
                  <a:latin typeface="+mn-lt"/>
                  <a:ea typeface="+mn-ea"/>
                  <a:cs typeface="+mn-cs"/>
                </a:rPr>
                <a:t>. The equivalent bus impedance is: </a:t>
              </a:r>
              <a:r>
                <a:rPr lang="en-US" sz="1100" i="0">
                  <a:solidFill>
                    <a:schemeClr val="dk1"/>
                  </a:solidFill>
                  <a:effectLst/>
                  <a:latin typeface="Cambria Math" panose="02040503050406030204" pitchFamily="18" charset="0"/>
                  <a:ea typeface="+mn-ea"/>
                  <a:cs typeface="+mn-cs"/>
                </a:rPr>
                <a:t>𝑍_𝑒𝑞=𝑍_𝑀𝑅∥𝑍_𝐶</a:t>
              </a:r>
              <a:r>
                <a:rPr lang="en-US" sz="1100">
                  <a:solidFill>
                    <a:schemeClr val="dk1"/>
                  </a:solidFill>
                  <a:effectLst/>
                  <a:latin typeface="+mn-lt"/>
                  <a:ea typeface="+mn-ea"/>
                  <a:cs typeface="+mn-cs"/>
                </a:rPr>
                <a:t>.  System current:  </a:t>
              </a:r>
              <a:r>
                <a:rPr lang="en-US" sz="1100" i="0">
                  <a:solidFill>
                    <a:schemeClr val="dk1"/>
                  </a:solidFill>
                  <a:effectLst/>
                  <a:latin typeface="Cambria Math" panose="02040503050406030204" pitchFamily="18" charset="0"/>
                  <a:ea typeface="+mn-ea"/>
                  <a:cs typeface="+mn-cs"/>
                </a:rPr>
                <a:t>𝐼_𝑃𝐶𝐶=𝑉_(𝑠𝑜𝑢𝑟𝑐𝑒,𝑝ℎ)/(𝑍_𝑢𝑝+𝑍_𝑒𝑞 )</a:t>
              </a:r>
              <a:r>
                <a:rPr lang="en-US" sz="1100">
                  <a:solidFill>
                    <a:schemeClr val="dk1"/>
                  </a:solidFill>
                  <a:effectLst/>
                  <a:latin typeface="+mn-lt"/>
                  <a:ea typeface="+mn-ea"/>
                  <a:cs typeface="+mn-cs"/>
                </a:rPr>
                <a:t> and bus voltage: </a:t>
              </a:r>
              <a:r>
                <a:rPr lang="en-US" sz="1100" i="0">
                  <a:solidFill>
                    <a:schemeClr val="dk1"/>
                  </a:solidFill>
                  <a:effectLst/>
                  <a:latin typeface="Cambria Math" panose="02040503050406030204" pitchFamily="18" charset="0"/>
                  <a:ea typeface="+mn-ea"/>
                  <a:cs typeface="+mn-cs"/>
                </a:rPr>
                <a:t>𝑉_(𝑆,𝑝ℎ)=𝑉_(𝑠𝑜𝑢𝑟𝑐𝑒,𝑝ℎ)  𝑍_𝑒𝑞/(𝑍_𝑢𝑝+𝑍_𝑒𝑞 )</a:t>
              </a:r>
              <a:r>
                <a:rPr lang="en-US" sz="1100">
                  <a:solidFill>
                    <a:schemeClr val="dk1"/>
                  </a:solidFill>
                  <a:effectLst/>
                  <a:latin typeface="+mn-lt"/>
                  <a:ea typeface="+mn-ea"/>
                  <a:cs typeface="+mn-cs"/>
                </a:rPr>
                <a:t>. Motor branch current: </a:t>
              </a:r>
              <a:r>
                <a:rPr lang="en-US" sz="1100" i="0">
                  <a:solidFill>
                    <a:schemeClr val="dk1"/>
                  </a:solidFill>
                  <a:effectLst/>
                  <a:latin typeface="Cambria Math" panose="02040503050406030204" pitchFamily="18" charset="0"/>
                  <a:ea typeface="+mn-ea"/>
                  <a:cs typeface="+mn-cs"/>
                </a:rPr>
                <a:t>𝐼_𝑀=𝑉_(𝑆,𝑝ℎ)/(𝑍_𝑅+𝑍_𝑀 )</a:t>
              </a:r>
              <a:r>
                <a:rPr lang="en-US" sz="1100">
                  <a:solidFill>
                    <a:schemeClr val="dk1"/>
                  </a:solidFill>
                  <a:effectLst/>
                  <a:latin typeface="+mn-lt"/>
                  <a:ea typeface="+mn-ea"/>
                  <a:cs typeface="+mn-cs"/>
                </a:rPr>
                <a:t>.  Motor terminal voltage: </a:t>
              </a:r>
              <a:r>
                <a:rPr lang="en-US" sz="1100" i="0">
                  <a:solidFill>
                    <a:schemeClr val="dk1"/>
                  </a:solidFill>
                  <a:effectLst/>
                  <a:latin typeface="Cambria Math" panose="02040503050406030204" pitchFamily="18" charset="0"/>
                  <a:ea typeface="+mn-ea"/>
                  <a:cs typeface="+mn-cs"/>
                </a:rPr>
                <a:t>𝑉_(𝑀,𝑝ℎ)=𝑉_(𝑆,𝑝ℎ)−𝐼_𝑀 𝑍_𝑅</a:t>
              </a:r>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p>
          </xdr:txBody>
        </xdr:sp>
      </mc:Fallback>
    </mc:AlternateContent>
    <xdr:clientData/>
  </xdr:twoCellAnchor>
  <xdr:twoCellAnchor>
    <xdr:from>
      <xdr:col>25</xdr:col>
      <xdr:colOff>109657</xdr:colOff>
      <xdr:row>112</xdr:row>
      <xdr:rowOff>321</xdr:rowOff>
    </xdr:from>
    <xdr:to>
      <xdr:col>34</xdr:col>
      <xdr:colOff>174492</xdr:colOff>
      <xdr:row>113</xdr:row>
      <xdr:rowOff>8806</xdr:rowOff>
    </xdr:to>
    <xdr:sp macro="" textlink="BH22">
      <xdr:nvSpPr>
        <xdr:cNvPr id="22" name="TextBox 21">
          <a:extLst>
            <a:ext uri="{FF2B5EF4-FFF2-40B4-BE49-F238E27FC236}">
              <a16:creationId xmlns:a16="http://schemas.microsoft.com/office/drawing/2014/main" id="{AE4FA7BB-CA1E-919C-D1FC-B9A2CE852E64}"/>
            </a:ext>
          </a:extLst>
        </xdr:cNvPr>
        <xdr:cNvSpPr txBox="1"/>
      </xdr:nvSpPr>
      <xdr:spPr>
        <a:xfrm rot="19260591">
          <a:off x="4634032" y="25603521"/>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618DD6D-D5CE-4DD5-BB20-9582A471125D}" type="TxLink">
            <a:rPr lang="en-US" sz="1100" b="1" i="0" u="none" strike="noStrike">
              <a:solidFill>
                <a:srgbClr val="FF0000"/>
              </a:solidFill>
              <a:latin typeface="Calibri"/>
              <a:ea typeface="Calibri"/>
              <a:cs typeface="Calibri"/>
            </a:rPr>
            <a:pPr/>
            <a:t>66.9%</a:t>
          </a:fld>
          <a:endParaRPr lang="en-US" sz="1100"/>
        </a:p>
      </xdr:txBody>
    </xdr:sp>
    <xdr:clientData/>
  </xdr:twoCellAnchor>
  <xdr:twoCellAnchor>
    <xdr:from>
      <xdr:col>30</xdr:col>
      <xdr:colOff>132825</xdr:colOff>
      <xdr:row>118</xdr:row>
      <xdr:rowOff>85093</xdr:rowOff>
    </xdr:from>
    <xdr:to>
      <xdr:col>38</xdr:col>
      <xdr:colOff>41750</xdr:colOff>
      <xdr:row>119</xdr:row>
      <xdr:rowOff>96299</xdr:rowOff>
    </xdr:to>
    <xdr:sp macro="" textlink="BX26">
      <xdr:nvSpPr>
        <xdr:cNvPr id="26" name="TextBox 25">
          <a:extLst>
            <a:ext uri="{FF2B5EF4-FFF2-40B4-BE49-F238E27FC236}">
              <a16:creationId xmlns:a16="http://schemas.microsoft.com/office/drawing/2014/main" id="{7953C197-26B1-40EC-8D27-6E1B3A7F703E}"/>
            </a:ext>
          </a:extLst>
        </xdr:cNvPr>
        <xdr:cNvSpPr txBox="1"/>
      </xdr:nvSpPr>
      <xdr:spPr>
        <a:xfrm rot="19260591">
          <a:off x="5562075" y="27059893"/>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569B62A-76BD-48A9-A498-0093DC1E910C}" type="TxLink">
            <a:rPr lang="en-US" sz="1100" b="1" i="0" u="none" strike="noStrike">
              <a:solidFill>
                <a:srgbClr val="0070C0"/>
              </a:solidFill>
              <a:latin typeface="Calibri"/>
              <a:ea typeface="Calibri"/>
              <a:cs typeface="Calibri"/>
            </a:rPr>
            <a:pPr/>
            <a:t>96.2%</a:t>
          </a:fld>
          <a:endParaRPr lang="en-US" sz="1100"/>
        </a:p>
      </xdr:txBody>
    </xdr:sp>
    <xdr:clientData/>
  </xdr:twoCellAnchor>
  <xdr:twoCellAnchor>
    <xdr:from>
      <xdr:col>30</xdr:col>
      <xdr:colOff>30463</xdr:colOff>
      <xdr:row>117</xdr:row>
      <xdr:rowOff>141853</xdr:rowOff>
    </xdr:from>
    <xdr:to>
      <xdr:col>38</xdr:col>
      <xdr:colOff>92120</xdr:colOff>
      <xdr:row>118</xdr:row>
      <xdr:rowOff>153059</xdr:rowOff>
    </xdr:to>
    <xdr:sp macro="" textlink="BP26">
      <xdr:nvSpPr>
        <xdr:cNvPr id="27" name="TextBox 26">
          <a:extLst>
            <a:ext uri="{FF2B5EF4-FFF2-40B4-BE49-F238E27FC236}">
              <a16:creationId xmlns:a16="http://schemas.microsoft.com/office/drawing/2014/main" id="{AB734521-1523-4649-AE2B-A9E2EDB34807}"/>
            </a:ext>
          </a:extLst>
        </xdr:cNvPr>
        <xdr:cNvSpPr txBox="1"/>
      </xdr:nvSpPr>
      <xdr:spPr>
        <a:xfrm rot="19260591">
          <a:off x="5459713" y="26888053"/>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D70665C-0B3F-4359-AE6E-32E9FCD7F0F2}" type="TxLink">
            <a:rPr lang="en-US" sz="1100" b="1" i="0" u="none" strike="noStrike">
              <a:solidFill>
                <a:srgbClr val="0E9ED9"/>
              </a:solidFill>
              <a:latin typeface="Calibri"/>
              <a:ea typeface="Calibri"/>
              <a:cs typeface="Calibri"/>
            </a:rPr>
            <a:pPr/>
            <a:t>82.6%</a:t>
          </a:fld>
          <a:endParaRPr lang="en-US" sz="1100"/>
        </a:p>
      </xdr:txBody>
    </xdr:sp>
    <xdr:clientData/>
  </xdr:twoCellAnchor>
  <xdr:twoCellAnchor>
    <xdr:from>
      <xdr:col>29</xdr:col>
      <xdr:colOff>85725</xdr:colOff>
      <xdr:row>116</xdr:row>
      <xdr:rowOff>200024</xdr:rowOff>
    </xdr:from>
    <xdr:to>
      <xdr:col>38</xdr:col>
      <xdr:colOff>150560</xdr:colOff>
      <xdr:row>117</xdr:row>
      <xdr:rowOff>208509</xdr:rowOff>
    </xdr:to>
    <xdr:sp macro="" textlink="BH26">
      <xdr:nvSpPr>
        <xdr:cNvPr id="28" name="TextBox 27">
          <a:extLst>
            <a:ext uri="{FF2B5EF4-FFF2-40B4-BE49-F238E27FC236}">
              <a16:creationId xmlns:a16="http://schemas.microsoft.com/office/drawing/2014/main" id="{89199537-F70C-4F1F-8F30-3BBBC16B9CB1}"/>
            </a:ext>
          </a:extLst>
        </xdr:cNvPr>
        <xdr:cNvSpPr txBox="1"/>
      </xdr:nvSpPr>
      <xdr:spPr>
        <a:xfrm rot="19260591">
          <a:off x="5334000" y="26717624"/>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45C2D88-E46C-4BC6-B51B-05FEC04D6B13}" type="TxLink">
            <a:rPr lang="en-US" sz="1100" b="1" i="0" u="none" strike="noStrike">
              <a:solidFill>
                <a:srgbClr val="FF0000"/>
              </a:solidFill>
              <a:latin typeface="Calibri"/>
              <a:ea typeface="Calibri"/>
              <a:cs typeface="Calibri"/>
            </a:rPr>
            <a:pPr/>
            <a:t>62.5%</a:t>
          </a:fld>
          <a:endParaRPr lang="en-US" sz="1100"/>
        </a:p>
      </xdr:txBody>
    </xdr:sp>
    <xdr:clientData/>
  </xdr:twoCellAnchor>
  <xdr:twoCellAnchor>
    <xdr:from>
      <xdr:col>29</xdr:col>
      <xdr:colOff>28050</xdr:colOff>
      <xdr:row>128</xdr:row>
      <xdr:rowOff>208919</xdr:rowOff>
    </xdr:from>
    <xdr:to>
      <xdr:col>34</xdr:col>
      <xdr:colOff>38100</xdr:colOff>
      <xdr:row>129</xdr:row>
      <xdr:rowOff>220125</xdr:rowOff>
    </xdr:to>
    <xdr:sp macro="" textlink="BY15">
      <xdr:nvSpPr>
        <xdr:cNvPr id="29" name="TextBox 28">
          <a:extLst>
            <a:ext uri="{FF2B5EF4-FFF2-40B4-BE49-F238E27FC236}">
              <a16:creationId xmlns:a16="http://schemas.microsoft.com/office/drawing/2014/main" id="{4C17325D-B6DA-4521-979E-364F132D7638}"/>
            </a:ext>
          </a:extLst>
        </xdr:cNvPr>
        <xdr:cNvSpPr txBox="1"/>
      </xdr:nvSpPr>
      <xdr:spPr>
        <a:xfrm>
          <a:off x="5276325" y="29469719"/>
          <a:ext cx="9149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FDB7CD-58A7-48DB-BF8F-25B36F8CB8A8}" type="TxLink">
            <a:rPr lang="en-US" sz="1100" b="1" i="0" u="none" strike="noStrike">
              <a:solidFill>
                <a:srgbClr val="0070C0"/>
              </a:solidFill>
              <a:latin typeface="Calibri"/>
              <a:ea typeface="Calibri"/>
              <a:cs typeface="Calibri"/>
            </a:rPr>
            <a:pPr/>
            <a:t>47.5%</a:t>
          </a:fld>
          <a:endParaRPr lang="en-US" sz="1100"/>
        </a:p>
      </xdr:txBody>
    </xdr:sp>
    <xdr:clientData/>
  </xdr:twoCellAnchor>
  <xdr:twoCellAnchor>
    <xdr:from>
      <xdr:col>29</xdr:col>
      <xdr:colOff>30463</xdr:colOff>
      <xdr:row>128</xdr:row>
      <xdr:rowOff>75179</xdr:rowOff>
    </xdr:from>
    <xdr:to>
      <xdr:col>35</xdr:col>
      <xdr:colOff>142875</xdr:colOff>
      <xdr:row>129</xdr:row>
      <xdr:rowOff>86385</xdr:rowOff>
    </xdr:to>
    <xdr:sp macro="" textlink="BP15">
      <xdr:nvSpPr>
        <xdr:cNvPr id="30" name="TextBox 29">
          <a:extLst>
            <a:ext uri="{FF2B5EF4-FFF2-40B4-BE49-F238E27FC236}">
              <a16:creationId xmlns:a16="http://schemas.microsoft.com/office/drawing/2014/main" id="{06AD29C9-ECA0-4D5F-B5F4-28B334C99D0F}"/>
            </a:ext>
          </a:extLst>
        </xdr:cNvPr>
        <xdr:cNvSpPr txBox="1"/>
      </xdr:nvSpPr>
      <xdr:spPr>
        <a:xfrm>
          <a:off x="5278738" y="29335979"/>
          <a:ext cx="1198262"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22FDA33-8F6E-4C1C-AA29-AFD79FD0E233}" type="TxLink">
            <a:rPr lang="en-US" sz="1100" b="1" i="0" u="none" strike="noStrike">
              <a:solidFill>
                <a:srgbClr val="0E9ED9"/>
              </a:solidFill>
              <a:latin typeface="Calibri"/>
              <a:ea typeface="Calibri"/>
              <a:cs typeface="Calibri"/>
            </a:rPr>
            <a:pPr/>
            <a:t>68.2%</a:t>
          </a:fld>
          <a:endParaRPr lang="en-US" sz="1100"/>
        </a:p>
      </xdr:txBody>
    </xdr:sp>
    <xdr:clientData/>
  </xdr:twoCellAnchor>
  <xdr:twoCellAnchor>
    <xdr:from>
      <xdr:col>27</xdr:col>
      <xdr:colOff>59362</xdr:colOff>
      <xdr:row>117</xdr:row>
      <xdr:rowOff>56660</xdr:rowOff>
    </xdr:from>
    <xdr:to>
      <xdr:col>33</xdr:col>
      <xdr:colOff>160098</xdr:colOff>
      <xdr:row>119</xdr:row>
      <xdr:rowOff>95069</xdr:rowOff>
    </xdr:to>
    <xdr:sp macro="" textlink="">
      <xdr:nvSpPr>
        <xdr:cNvPr id="32" name="TextBox 31">
          <a:extLst>
            <a:ext uri="{FF2B5EF4-FFF2-40B4-BE49-F238E27FC236}">
              <a16:creationId xmlns:a16="http://schemas.microsoft.com/office/drawing/2014/main" id="{D5C8EA2C-755F-5CD4-CEFC-36D70C8A84A2}"/>
            </a:ext>
          </a:extLst>
        </xdr:cNvPr>
        <xdr:cNvSpPr txBox="1"/>
      </xdr:nvSpPr>
      <xdr:spPr>
        <a:xfrm rot="19229337">
          <a:off x="4945687" y="26802860"/>
          <a:ext cx="1186586" cy="4956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Voltage During Start</a:t>
          </a:r>
        </a:p>
        <a:p>
          <a:pPr algn="ctr"/>
          <a:endParaRPr lang="en-US" sz="1100"/>
        </a:p>
      </xdr:txBody>
    </xdr:sp>
    <xdr:clientData/>
  </xdr:twoCellAnchor>
  <xdr:twoCellAnchor>
    <xdr:from>
      <xdr:col>23</xdr:col>
      <xdr:colOff>109784</xdr:colOff>
      <xdr:row>112</xdr:row>
      <xdr:rowOff>49423</xdr:rowOff>
    </xdr:from>
    <xdr:to>
      <xdr:col>30</xdr:col>
      <xdr:colOff>117102</xdr:colOff>
      <xdr:row>114</xdr:row>
      <xdr:rowOff>204983</xdr:rowOff>
    </xdr:to>
    <xdr:sp macro="" textlink="">
      <xdr:nvSpPr>
        <xdr:cNvPr id="33" name="TextBox 32">
          <a:extLst>
            <a:ext uri="{FF2B5EF4-FFF2-40B4-BE49-F238E27FC236}">
              <a16:creationId xmlns:a16="http://schemas.microsoft.com/office/drawing/2014/main" id="{65E4407A-2ABA-4366-958A-D1A1E347B21B}"/>
            </a:ext>
          </a:extLst>
        </xdr:cNvPr>
        <xdr:cNvSpPr txBox="1"/>
      </xdr:nvSpPr>
      <xdr:spPr>
        <a:xfrm rot="19229337">
          <a:off x="4272209" y="25652623"/>
          <a:ext cx="1274143" cy="612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Voltage During Start</a:t>
          </a:r>
        </a:p>
        <a:p>
          <a:pPr algn="ctr"/>
          <a:endParaRPr lang="en-US" sz="1100"/>
        </a:p>
      </xdr:txBody>
    </xdr:sp>
    <xdr:clientData/>
  </xdr:twoCellAnchor>
  <xdr:twoCellAnchor>
    <xdr:from>
      <xdr:col>16</xdr:col>
      <xdr:colOff>52514</xdr:colOff>
      <xdr:row>105</xdr:row>
      <xdr:rowOff>109938</xdr:rowOff>
    </xdr:from>
    <xdr:to>
      <xdr:col>17</xdr:col>
      <xdr:colOff>108624</xdr:colOff>
      <xdr:row>112</xdr:row>
      <xdr:rowOff>203348</xdr:rowOff>
    </xdr:to>
    <xdr:sp macro="" textlink="BH32">
      <xdr:nvSpPr>
        <xdr:cNvPr id="34" name="TextBox 33">
          <a:extLst>
            <a:ext uri="{FF2B5EF4-FFF2-40B4-BE49-F238E27FC236}">
              <a16:creationId xmlns:a16="http://schemas.microsoft.com/office/drawing/2014/main" id="{2FFE8DCB-C4DF-40FA-B50C-FF078EC56A25}"/>
            </a:ext>
          </a:extLst>
        </xdr:cNvPr>
        <xdr:cNvSpPr txBox="1"/>
      </xdr:nvSpPr>
      <xdr:spPr>
        <a:xfrm rot="16200000">
          <a:off x="2219852" y="24841200"/>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048BEDB-B927-48E0-BCBD-9B331E308707}" type="TxLink">
            <a:rPr lang="en-US" sz="1100" b="1" i="0" u="none" strike="noStrike">
              <a:solidFill>
                <a:srgbClr val="FF0000"/>
              </a:solidFill>
              <a:latin typeface="Calibri"/>
              <a:ea typeface="Calibri"/>
              <a:cs typeface="Calibri"/>
            </a:rPr>
            <a:pPr/>
            <a:t>312.5%</a:t>
          </a:fld>
          <a:endParaRPr lang="en-US" sz="1100"/>
        </a:p>
      </xdr:txBody>
    </xdr:sp>
    <xdr:clientData/>
  </xdr:twoCellAnchor>
  <xdr:twoCellAnchor>
    <xdr:from>
      <xdr:col>17</xdr:col>
      <xdr:colOff>139362</xdr:colOff>
      <xdr:row>106</xdr:row>
      <xdr:rowOff>221959</xdr:rowOff>
    </xdr:from>
    <xdr:to>
      <xdr:col>19</xdr:col>
      <xdr:colOff>17218</xdr:colOff>
      <xdr:row>112</xdr:row>
      <xdr:rowOff>207084</xdr:rowOff>
    </xdr:to>
    <xdr:sp macro="" textlink="BX32">
      <xdr:nvSpPr>
        <xdr:cNvPr id="35" name="TextBox 34">
          <a:extLst>
            <a:ext uri="{FF2B5EF4-FFF2-40B4-BE49-F238E27FC236}">
              <a16:creationId xmlns:a16="http://schemas.microsoft.com/office/drawing/2014/main" id="{4E14F75D-5591-407B-9957-45975921E190}"/>
            </a:ext>
          </a:extLst>
        </xdr:cNvPr>
        <xdr:cNvSpPr txBox="1"/>
      </xdr:nvSpPr>
      <xdr:spPr>
        <a:xfrm rot="16200000">
          <a:off x="2657477" y="25012019"/>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7103AD1-C197-4EBF-B864-58188F454110}" type="TxLink">
            <a:rPr lang="en-US" sz="1100" b="1" i="0" u="none" strike="noStrike">
              <a:solidFill>
                <a:srgbClr val="0070C0"/>
              </a:solidFill>
              <a:latin typeface="Calibri"/>
              <a:ea typeface="Calibri"/>
              <a:cs typeface="Calibri"/>
            </a:rPr>
            <a:pPr/>
            <a:t>55.9%</a:t>
          </a:fld>
          <a:endParaRPr lang="en-US" sz="1100"/>
        </a:p>
      </xdr:txBody>
    </xdr:sp>
    <xdr:clientData/>
  </xdr:twoCellAnchor>
  <xdr:twoCellAnchor>
    <xdr:from>
      <xdr:col>16</xdr:col>
      <xdr:colOff>180041</xdr:colOff>
      <xdr:row>106</xdr:row>
      <xdr:rowOff>69003</xdr:rowOff>
    </xdr:from>
    <xdr:to>
      <xdr:col>18</xdr:col>
      <xdr:colOff>57897</xdr:colOff>
      <xdr:row>112</xdr:row>
      <xdr:rowOff>206860</xdr:rowOff>
    </xdr:to>
    <xdr:sp macro="" textlink="BP32">
      <xdr:nvSpPr>
        <xdr:cNvPr id="36" name="TextBox 35">
          <a:extLst>
            <a:ext uri="{FF2B5EF4-FFF2-40B4-BE49-F238E27FC236}">
              <a16:creationId xmlns:a16="http://schemas.microsoft.com/office/drawing/2014/main" id="{0DC94476-6CE8-41BC-B35B-A3DB98F3E170}"/>
            </a:ext>
          </a:extLst>
        </xdr:cNvPr>
        <xdr:cNvSpPr txBox="1"/>
      </xdr:nvSpPr>
      <xdr:spPr>
        <a:xfrm rot="16200000">
          <a:off x="2440815" y="24935429"/>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704E0B1-784F-4B5E-B88C-7FCF7FB6A1B4}" type="TxLink">
            <a:rPr lang="en-US" sz="1100" b="1" i="0" u="none" strike="noStrike">
              <a:solidFill>
                <a:srgbClr val="0E9ED9"/>
              </a:solidFill>
              <a:latin typeface="Calibri"/>
              <a:ea typeface="Calibri"/>
              <a:cs typeface="Calibri"/>
            </a:rPr>
            <a:pPr/>
            <a:t>156.3%</a:t>
          </a:fld>
          <a:endParaRPr lang="en-US" sz="1100"/>
        </a:p>
      </xdr:txBody>
    </xdr:sp>
    <xdr:clientData/>
  </xdr:twoCellAnchor>
  <xdr:twoCellAnchor>
    <xdr:from>
      <xdr:col>14</xdr:col>
      <xdr:colOff>59538</xdr:colOff>
      <xdr:row>108</xdr:row>
      <xdr:rowOff>207169</xdr:rowOff>
    </xdr:from>
    <xdr:to>
      <xdr:col>17</xdr:col>
      <xdr:colOff>11913</xdr:colOff>
      <xdr:row>114</xdr:row>
      <xdr:rowOff>69056</xdr:rowOff>
    </xdr:to>
    <xdr:sp macro="" textlink="">
      <xdr:nvSpPr>
        <xdr:cNvPr id="37" name="TextBox 36">
          <a:extLst>
            <a:ext uri="{FF2B5EF4-FFF2-40B4-BE49-F238E27FC236}">
              <a16:creationId xmlns:a16="http://schemas.microsoft.com/office/drawing/2014/main" id="{84E96E45-DEC9-4115-87DE-F47967CC8FBA}"/>
            </a:ext>
          </a:extLst>
        </xdr:cNvPr>
        <xdr:cNvSpPr txBox="1"/>
      </xdr:nvSpPr>
      <xdr:spPr>
        <a:xfrm rot="16200000">
          <a:off x="2224094" y="25265063"/>
          <a:ext cx="1233487"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Current During</a:t>
          </a:r>
          <a:br>
            <a:rPr lang="en-US" sz="1100"/>
          </a:br>
          <a:r>
            <a:rPr lang="en-US" sz="1100"/>
            <a:t>Start (%FLA)</a:t>
          </a:r>
        </a:p>
        <a:p>
          <a:endParaRPr lang="en-US" sz="1100"/>
        </a:p>
      </xdr:txBody>
    </xdr:sp>
    <xdr:clientData/>
  </xdr:twoCellAnchor>
  <xdr:twoCellAnchor>
    <xdr:from>
      <xdr:col>19</xdr:col>
      <xdr:colOff>0</xdr:colOff>
      <xdr:row>110</xdr:row>
      <xdr:rowOff>142875</xdr:rowOff>
    </xdr:from>
    <xdr:to>
      <xdr:col>19</xdr:col>
      <xdr:colOff>9525</xdr:colOff>
      <xdr:row>114</xdr:row>
      <xdr:rowOff>95250</xdr:rowOff>
    </xdr:to>
    <xdr:cxnSp macro="">
      <xdr:nvCxnSpPr>
        <xdr:cNvPr id="39" name="Straight Arrow Connector 38">
          <a:extLst>
            <a:ext uri="{FF2B5EF4-FFF2-40B4-BE49-F238E27FC236}">
              <a16:creationId xmlns:a16="http://schemas.microsoft.com/office/drawing/2014/main" id="{DAE88C20-FEA2-6BAB-AB41-3B26EE89FE60}"/>
            </a:ext>
          </a:extLst>
        </xdr:cNvPr>
        <xdr:cNvCxnSpPr/>
      </xdr:nvCxnSpPr>
      <xdr:spPr>
        <a:xfrm flipH="1">
          <a:off x="3438525" y="25288875"/>
          <a:ext cx="9525" cy="866775"/>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95250</xdr:colOff>
      <xdr:row>127</xdr:row>
      <xdr:rowOff>0</xdr:rowOff>
    </xdr:from>
    <xdr:to>
      <xdr:col>42</xdr:col>
      <xdr:colOff>104775</xdr:colOff>
      <xdr:row>128</xdr:row>
      <xdr:rowOff>19050</xdr:rowOff>
    </xdr:to>
    <xdr:sp macro="" textlink="">
      <xdr:nvSpPr>
        <xdr:cNvPr id="40" name="TextBox 39">
          <a:extLst>
            <a:ext uri="{FF2B5EF4-FFF2-40B4-BE49-F238E27FC236}">
              <a16:creationId xmlns:a16="http://schemas.microsoft.com/office/drawing/2014/main" id="{557CB696-F61C-E0D4-2AA9-40674AD4CB1E}"/>
            </a:ext>
          </a:extLst>
        </xdr:cNvPr>
        <xdr:cNvSpPr txBox="1"/>
      </xdr:nvSpPr>
      <xdr:spPr>
        <a:xfrm>
          <a:off x="6429375" y="29032200"/>
          <a:ext cx="12763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(%FLA)</a:t>
          </a:r>
        </a:p>
      </xdr:txBody>
    </xdr:sp>
    <xdr:clientData/>
  </xdr:twoCellAnchor>
  <xdr:twoCellAnchor>
    <xdr:from>
      <xdr:col>37</xdr:col>
      <xdr:colOff>29100</xdr:colOff>
      <xdr:row>127</xdr:row>
      <xdr:rowOff>219075</xdr:rowOff>
    </xdr:from>
    <xdr:to>
      <xdr:col>46</xdr:col>
      <xdr:colOff>93935</xdr:colOff>
      <xdr:row>128</xdr:row>
      <xdr:rowOff>227560</xdr:rowOff>
    </xdr:to>
    <xdr:sp macro="" textlink="BH12">
      <xdr:nvSpPr>
        <xdr:cNvPr id="41" name="TextBox 40">
          <a:extLst>
            <a:ext uri="{FF2B5EF4-FFF2-40B4-BE49-F238E27FC236}">
              <a16:creationId xmlns:a16="http://schemas.microsoft.com/office/drawing/2014/main" id="{08E34508-54E2-4821-98A5-7EE0A5987E7C}"/>
            </a:ext>
          </a:extLst>
        </xdr:cNvPr>
        <xdr:cNvSpPr txBox="1"/>
      </xdr:nvSpPr>
      <xdr:spPr>
        <a:xfrm>
          <a:off x="6725175" y="29251275"/>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27D2A5A-464F-4FC7-BE6B-0A1DDADD2C7D}" type="TxLink">
            <a:rPr lang="en-US" sz="1100" b="1" i="0" u="none" strike="noStrike">
              <a:solidFill>
                <a:srgbClr val="FF0000"/>
              </a:solidFill>
              <a:latin typeface="Calibri"/>
              <a:ea typeface="Calibri"/>
              <a:cs typeface="Calibri"/>
            </a:rPr>
            <a:pPr/>
            <a:t>312.5%</a:t>
          </a:fld>
          <a:endParaRPr lang="en-US" sz="1100"/>
        </a:p>
      </xdr:txBody>
    </xdr:sp>
    <xdr:clientData/>
  </xdr:twoCellAnchor>
  <xdr:twoCellAnchor>
    <xdr:from>
      <xdr:col>37</xdr:col>
      <xdr:colOff>28575</xdr:colOff>
      <xdr:row>129</xdr:row>
      <xdr:rowOff>18419</xdr:rowOff>
    </xdr:from>
    <xdr:to>
      <xdr:col>44</xdr:col>
      <xdr:colOff>118475</xdr:colOff>
      <xdr:row>130</xdr:row>
      <xdr:rowOff>29625</xdr:rowOff>
    </xdr:to>
    <xdr:sp macro="" textlink="BY12">
      <xdr:nvSpPr>
        <xdr:cNvPr id="42" name="TextBox 41">
          <a:extLst>
            <a:ext uri="{FF2B5EF4-FFF2-40B4-BE49-F238E27FC236}">
              <a16:creationId xmlns:a16="http://schemas.microsoft.com/office/drawing/2014/main" id="{983A02B3-A378-4453-A0C7-873BEAC11DD5}"/>
            </a:ext>
          </a:extLst>
        </xdr:cNvPr>
        <xdr:cNvSpPr txBox="1"/>
      </xdr:nvSpPr>
      <xdr:spPr>
        <a:xfrm>
          <a:off x="6724650" y="29507819"/>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30FB297-AAB3-4C0C-A724-BEAF851453BC}" type="TxLink">
            <a:rPr lang="en-US" sz="1100" b="1" i="0" u="none" strike="noStrike">
              <a:solidFill>
                <a:srgbClr val="0070C0"/>
              </a:solidFill>
              <a:latin typeface="Calibri"/>
              <a:ea typeface="Calibri"/>
              <a:cs typeface="Calibri"/>
            </a:rPr>
            <a:pPr/>
            <a:t>344.7%</a:t>
          </a:fld>
          <a:endParaRPr lang="en-US" sz="1100"/>
        </a:p>
      </xdr:txBody>
    </xdr:sp>
    <xdr:clientData/>
  </xdr:twoCellAnchor>
  <xdr:twoCellAnchor>
    <xdr:from>
      <xdr:col>37</xdr:col>
      <xdr:colOff>21464</xdr:colOff>
      <xdr:row>128</xdr:row>
      <xdr:rowOff>113279</xdr:rowOff>
    </xdr:from>
    <xdr:to>
      <xdr:col>42</xdr:col>
      <xdr:colOff>152401</xdr:colOff>
      <xdr:row>129</xdr:row>
      <xdr:rowOff>124485</xdr:rowOff>
    </xdr:to>
    <xdr:sp macro="" textlink="BP12">
      <xdr:nvSpPr>
        <xdr:cNvPr id="43" name="TextBox 42">
          <a:extLst>
            <a:ext uri="{FF2B5EF4-FFF2-40B4-BE49-F238E27FC236}">
              <a16:creationId xmlns:a16="http://schemas.microsoft.com/office/drawing/2014/main" id="{F3CDEC90-88D8-4292-8761-E86CFAE38E0D}"/>
            </a:ext>
          </a:extLst>
        </xdr:cNvPr>
        <xdr:cNvSpPr txBox="1"/>
      </xdr:nvSpPr>
      <xdr:spPr>
        <a:xfrm>
          <a:off x="6717539" y="29374079"/>
          <a:ext cx="1035812"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381AA5C-E3D3-4A84-B61B-1A330E76031A}" type="TxLink">
            <a:rPr lang="en-US" sz="1100" b="1" i="0" u="none" strike="noStrike">
              <a:solidFill>
                <a:srgbClr val="0E9ED9"/>
              </a:solidFill>
              <a:latin typeface="Calibri"/>
              <a:ea typeface="Calibri"/>
              <a:cs typeface="Calibri"/>
            </a:rPr>
            <a:pPr/>
            <a:t>413.0%</a:t>
          </a:fld>
          <a:endParaRPr lang="en-US" sz="1100"/>
        </a:p>
      </xdr:txBody>
    </xdr:sp>
    <xdr:clientData/>
  </xdr:twoCellAnchor>
  <xdr:twoCellAnchor>
    <xdr:from>
      <xdr:col>18</xdr:col>
      <xdr:colOff>28575</xdr:colOff>
      <xdr:row>108</xdr:row>
      <xdr:rowOff>57150</xdr:rowOff>
    </xdr:from>
    <xdr:to>
      <xdr:col>23</xdr:col>
      <xdr:colOff>0</xdr:colOff>
      <xdr:row>109</xdr:row>
      <xdr:rowOff>47625</xdr:rowOff>
    </xdr:to>
    <xdr:sp macro="" textlink="">
      <xdr:nvSpPr>
        <xdr:cNvPr id="44" name="TextBox 43">
          <a:extLst>
            <a:ext uri="{FF2B5EF4-FFF2-40B4-BE49-F238E27FC236}">
              <a16:creationId xmlns:a16="http://schemas.microsoft.com/office/drawing/2014/main" id="{9B9A3171-4B27-AE69-363B-7B6B80B70234}"/>
            </a:ext>
          </a:extLst>
        </xdr:cNvPr>
        <xdr:cNvSpPr txBox="1"/>
      </xdr:nvSpPr>
      <xdr:spPr>
        <a:xfrm>
          <a:off x="3286125" y="24745950"/>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Source</a:t>
          </a:r>
        </a:p>
      </xdr:txBody>
    </xdr:sp>
    <xdr:clientData/>
  </xdr:twoCellAnchor>
  <xdr:twoCellAnchor>
    <xdr:from>
      <xdr:col>24</xdr:col>
      <xdr:colOff>152401</xdr:colOff>
      <xdr:row>127</xdr:row>
      <xdr:rowOff>171450</xdr:rowOff>
    </xdr:from>
    <xdr:to>
      <xdr:col>28</xdr:col>
      <xdr:colOff>95251</xdr:colOff>
      <xdr:row>128</xdr:row>
      <xdr:rowOff>219075</xdr:rowOff>
    </xdr:to>
    <xdr:sp macro="" textlink="">
      <xdr:nvSpPr>
        <xdr:cNvPr id="45" name="TextBox 44">
          <a:extLst>
            <a:ext uri="{FF2B5EF4-FFF2-40B4-BE49-F238E27FC236}">
              <a16:creationId xmlns:a16="http://schemas.microsoft.com/office/drawing/2014/main" id="{0408E62B-4142-B34A-7733-3C13D09E5A9A}"/>
            </a:ext>
          </a:extLst>
        </xdr:cNvPr>
        <xdr:cNvSpPr txBox="1"/>
      </xdr:nvSpPr>
      <xdr:spPr>
        <a:xfrm>
          <a:off x="4495801" y="29203650"/>
          <a:ext cx="6667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Motor</a:t>
          </a:r>
        </a:p>
      </xdr:txBody>
    </xdr:sp>
    <xdr:clientData/>
  </xdr:twoCellAnchor>
  <xdr:twoCellAnchor>
    <xdr:from>
      <xdr:col>16</xdr:col>
      <xdr:colOff>31077</xdr:colOff>
      <xdr:row>117</xdr:row>
      <xdr:rowOff>104775</xdr:rowOff>
    </xdr:from>
    <xdr:to>
      <xdr:col>17</xdr:col>
      <xdr:colOff>87187</xdr:colOff>
      <xdr:row>124</xdr:row>
      <xdr:rowOff>198185</xdr:rowOff>
    </xdr:to>
    <xdr:sp macro="" textlink="EK33">
      <xdr:nvSpPr>
        <xdr:cNvPr id="46" name="TextBox 45">
          <a:extLst>
            <a:ext uri="{FF2B5EF4-FFF2-40B4-BE49-F238E27FC236}">
              <a16:creationId xmlns:a16="http://schemas.microsoft.com/office/drawing/2014/main" id="{5790A24E-E0F3-4ECB-AAC4-812F45328374}"/>
            </a:ext>
          </a:extLst>
        </xdr:cNvPr>
        <xdr:cNvSpPr txBox="1"/>
      </xdr:nvSpPr>
      <xdr:spPr>
        <a:xfrm rot="16200000">
          <a:off x="2198415" y="27579237"/>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0C52752-4292-4097-B6F5-6F1B4D14618A}" type="TxLink">
            <a:rPr lang="en-US" sz="1100" b="0" i="0" u="none" strike="noStrike">
              <a:solidFill>
                <a:srgbClr val="FF0000"/>
              </a:solidFill>
              <a:latin typeface="Calibri"/>
              <a:ea typeface="Calibri"/>
              <a:cs typeface="Calibri"/>
            </a:rPr>
            <a:pPr/>
            <a:t>0</a:t>
          </a:fld>
          <a:endParaRPr lang="en-US" sz="1100">
            <a:solidFill>
              <a:srgbClr val="FF0000"/>
            </a:solidFill>
          </a:endParaRPr>
        </a:p>
      </xdr:txBody>
    </xdr:sp>
    <xdr:clientData/>
  </xdr:twoCellAnchor>
  <xdr:twoCellAnchor>
    <xdr:from>
      <xdr:col>17</xdr:col>
      <xdr:colOff>117925</xdr:colOff>
      <xdr:row>118</xdr:row>
      <xdr:rowOff>216796</xdr:rowOff>
    </xdr:from>
    <xdr:to>
      <xdr:col>18</xdr:col>
      <xdr:colOff>176756</xdr:colOff>
      <xdr:row>124</xdr:row>
      <xdr:rowOff>201921</xdr:rowOff>
    </xdr:to>
    <xdr:sp macro="" textlink="EK35">
      <xdr:nvSpPr>
        <xdr:cNvPr id="47" name="TextBox 46">
          <a:extLst>
            <a:ext uri="{FF2B5EF4-FFF2-40B4-BE49-F238E27FC236}">
              <a16:creationId xmlns:a16="http://schemas.microsoft.com/office/drawing/2014/main" id="{AEDD413A-1A8A-4D62-830D-BA1C7AE937AD}"/>
            </a:ext>
          </a:extLst>
        </xdr:cNvPr>
        <xdr:cNvSpPr txBox="1"/>
      </xdr:nvSpPr>
      <xdr:spPr>
        <a:xfrm rot="16200000">
          <a:off x="2636040" y="27750056"/>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C86DD89-1279-414B-9567-9B53257C388E}" type="TxLink">
            <a:rPr lang="en-US" sz="1100" b="1" i="0" u="none" strike="noStrike">
              <a:solidFill>
                <a:srgbClr val="0070C0"/>
              </a:solidFill>
              <a:latin typeface="Calibri"/>
              <a:ea typeface="Calibri"/>
              <a:cs typeface="Calibri"/>
            </a:rPr>
            <a:pPr/>
            <a:t>1114</a:t>
          </a:fld>
          <a:endParaRPr lang="en-US" sz="1100" b="1">
            <a:solidFill>
              <a:srgbClr val="0070C0"/>
            </a:solidFill>
          </a:endParaRPr>
        </a:p>
      </xdr:txBody>
    </xdr:sp>
    <xdr:clientData/>
  </xdr:twoCellAnchor>
  <xdr:twoCellAnchor>
    <xdr:from>
      <xdr:col>16</xdr:col>
      <xdr:colOff>158604</xdr:colOff>
      <xdr:row>118</xdr:row>
      <xdr:rowOff>63840</xdr:rowOff>
    </xdr:from>
    <xdr:to>
      <xdr:col>18</xdr:col>
      <xdr:colOff>36460</xdr:colOff>
      <xdr:row>124</xdr:row>
      <xdr:rowOff>201697</xdr:rowOff>
    </xdr:to>
    <xdr:sp macro="" textlink="EK34">
      <xdr:nvSpPr>
        <xdr:cNvPr id="48" name="TextBox 47">
          <a:extLst>
            <a:ext uri="{FF2B5EF4-FFF2-40B4-BE49-F238E27FC236}">
              <a16:creationId xmlns:a16="http://schemas.microsoft.com/office/drawing/2014/main" id="{F28B4414-D212-448D-AA42-034C248CBC1C}"/>
            </a:ext>
          </a:extLst>
        </xdr:cNvPr>
        <xdr:cNvSpPr txBox="1"/>
      </xdr:nvSpPr>
      <xdr:spPr>
        <a:xfrm rot="16200000">
          <a:off x="2419378" y="27673466"/>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8267EB5-C571-42EA-8BE8-1C45E0227FCF}" type="TxLink">
            <a:rPr lang="en-US" sz="1100" b="1" i="0" u="none" strike="noStrike">
              <a:solidFill>
                <a:srgbClr val="00B0F0"/>
              </a:solidFill>
              <a:latin typeface="Calibri"/>
              <a:ea typeface="Calibri"/>
              <a:cs typeface="Calibri"/>
            </a:rPr>
            <a:pPr/>
            <a:t>957</a:t>
          </a:fld>
          <a:endParaRPr lang="en-US" sz="1100" b="1">
            <a:solidFill>
              <a:srgbClr val="00B0F0"/>
            </a:solidFill>
          </a:endParaRPr>
        </a:p>
      </xdr:txBody>
    </xdr:sp>
    <xdr:clientData/>
  </xdr:twoCellAnchor>
  <xdr:twoCellAnchor>
    <xdr:from>
      <xdr:col>12</xdr:col>
      <xdr:colOff>171453</xdr:colOff>
      <xdr:row>120</xdr:row>
      <xdr:rowOff>202006</xdr:rowOff>
    </xdr:from>
    <xdr:to>
      <xdr:col>16</xdr:col>
      <xdr:colOff>114303</xdr:colOff>
      <xdr:row>126</xdr:row>
      <xdr:rowOff>63893</xdr:rowOff>
    </xdr:to>
    <xdr:sp macro="" textlink="">
      <xdr:nvSpPr>
        <xdr:cNvPr id="49" name="TextBox 48">
          <a:extLst>
            <a:ext uri="{FF2B5EF4-FFF2-40B4-BE49-F238E27FC236}">
              <a16:creationId xmlns:a16="http://schemas.microsoft.com/office/drawing/2014/main" id="{F2F24008-D73B-4783-89F8-B4BF662D5882}"/>
            </a:ext>
          </a:extLst>
        </xdr:cNvPr>
        <xdr:cNvSpPr txBox="1"/>
      </xdr:nvSpPr>
      <xdr:spPr>
        <a:xfrm rot="16200000">
          <a:off x="2059784" y="27917375"/>
          <a:ext cx="1233487"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Current Assist from MotorVAR</a:t>
          </a:r>
          <a:r>
            <a:rPr lang="en-US" sz="1100" baseline="0"/>
            <a:t> (amps)</a:t>
          </a:r>
          <a:endParaRPr lang="en-US" sz="1100"/>
        </a:p>
      </xdr:txBody>
    </xdr:sp>
    <xdr:clientData/>
  </xdr:twoCellAnchor>
  <xdr:twoCellAnchor>
    <xdr:from>
      <xdr:col>18</xdr:col>
      <xdr:colOff>152400</xdr:colOff>
      <xdr:row>121</xdr:row>
      <xdr:rowOff>161925</xdr:rowOff>
    </xdr:from>
    <xdr:to>
      <xdr:col>18</xdr:col>
      <xdr:colOff>152400</xdr:colOff>
      <xdr:row>125</xdr:row>
      <xdr:rowOff>85725</xdr:rowOff>
    </xdr:to>
    <xdr:cxnSp macro="">
      <xdr:nvCxnSpPr>
        <xdr:cNvPr id="51" name="Straight Arrow Connector 50">
          <a:extLst>
            <a:ext uri="{FF2B5EF4-FFF2-40B4-BE49-F238E27FC236}">
              <a16:creationId xmlns:a16="http://schemas.microsoft.com/office/drawing/2014/main" id="{753FED77-D411-4639-B1C3-94D0ADC2FDD8}"/>
            </a:ext>
          </a:extLst>
        </xdr:cNvPr>
        <xdr:cNvCxnSpPr/>
      </xdr:nvCxnSpPr>
      <xdr:spPr>
        <a:xfrm flipV="1">
          <a:off x="3409950" y="27822525"/>
          <a:ext cx="0" cy="83820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142875</xdr:colOff>
      <xdr:row>126</xdr:row>
      <xdr:rowOff>76200</xdr:rowOff>
    </xdr:from>
    <xdr:to>
      <xdr:col>34</xdr:col>
      <xdr:colOff>95250</xdr:colOff>
      <xdr:row>128</xdr:row>
      <xdr:rowOff>161925</xdr:rowOff>
    </xdr:to>
    <xdr:sp macro="" textlink="">
      <xdr:nvSpPr>
        <xdr:cNvPr id="53" name="TextBox 52">
          <a:extLst>
            <a:ext uri="{FF2B5EF4-FFF2-40B4-BE49-F238E27FC236}">
              <a16:creationId xmlns:a16="http://schemas.microsoft.com/office/drawing/2014/main" id="{0815DC3F-7A0C-5434-99C8-55A7D68F91E6}"/>
            </a:ext>
          </a:extLst>
        </xdr:cNvPr>
        <xdr:cNvSpPr txBox="1"/>
      </xdr:nvSpPr>
      <xdr:spPr>
        <a:xfrm>
          <a:off x="4848225" y="28879800"/>
          <a:ext cx="1400175"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 Torque</a:t>
          </a:r>
          <a:br>
            <a:rPr lang="en-US" sz="1100"/>
          </a:br>
          <a:r>
            <a:rPr lang="en-US" sz="1100"/>
            <a:t>During Start</a:t>
          </a:r>
        </a:p>
      </xdr:txBody>
    </xdr:sp>
    <xdr:clientData/>
  </xdr:twoCellAnchor>
  <xdr:twoCellAnchor>
    <xdr:from>
      <xdr:col>31</xdr:col>
      <xdr:colOff>0</xdr:colOff>
      <xdr:row>126</xdr:row>
      <xdr:rowOff>66675</xdr:rowOff>
    </xdr:from>
    <xdr:to>
      <xdr:col>38</xdr:col>
      <xdr:colOff>133350</xdr:colOff>
      <xdr:row>128</xdr:row>
      <xdr:rowOff>161925</xdr:rowOff>
    </xdr:to>
    <xdr:sp macro="" textlink="">
      <xdr:nvSpPr>
        <xdr:cNvPr id="54" name="TextBox 53">
          <a:extLst>
            <a:ext uri="{FF2B5EF4-FFF2-40B4-BE49-F238E27FC236}">
              <a16:creationId xmlns:a16="http://schemas.microsoft.com/office/drawing/2014/main" id="{761A7817-A6BE-4AF8-B588-57EC401C3563}"/>
            </a:ext>
          </a:extLst>
        </xdr:cNvPr>
        <xdr:cNvSpPr txBox="1"/>
      </xdr:nvSpPr>
      <xdr:spPr>
        <a:xfrm>
          <a:off x="5610225" y="28870275"/>
          <a:ext cx="140017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br>
            <a:rPr lang="en-US" sz="1100"/>
          </a:br>
          <a:r>
            <a:rPr lang="en-US" sz="1100"/>
            <a:t>(amps)</a:t>
          </a:r>
        </a:p>
      </xdr:txBody>
    </xdr:sp>
    <xdr:clientData/>
  </xdr:twoCellAnchor>
  <xdr:twoCellAnchor>
    <xdr:from>
      <xdr:col>33</xdr:col>
      <xdr:colOff>19050</xdr:colOff>
      <xdr:row>129</xdr:row>
      <xdr:rowOff>19050</xdr:rowOff>
    </xdr:from>
    <xdr:to>
      <xdr:col>40</xdr:col>
      <xdr:colOff>108950</xdr:colOff>
      <xdr:row>130</xdr:row>
      <xdr:rowOff>30256</xdr:rowOff>
    </xdr:to>
    <xdr:sp macro="" textlink="ER26">
      <xdr:nvSpPr>
        <xdr:cNvPr id="55" name="TextBox 54">
          <a:extLst>
            <a:ext uri="{FF2B5EF4-FFF2-40B4-BE49-F238E27FC236}">
              <a16:creationId xmlns:a16="http://schemas.microsoft.com/office/drawing/2014/main" id="{94A653E9-873E-41D9-9F1F-75BDB39827E6}"/>
            </a:ext>
          </a:extLst>
        </xdr:cNvPr>
        <xdr:cNvSpPr txBox="1"/>
      </xdr:nvSpPr>
      <xdr:spPr>
        <a:xfrm>
          <a:off x="5991225" y="29508450"/>
          <a:ext cx="1356725"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6577134-6221-4AFD-B536-6D6D4F40C769}" type="TxLink">
            <a:rPr lang="en-US" sz="1100" b="1" i="0" u="none" strike="noStrike">
              <a:solidFill>
                <a:srgbClr val="0070C0"/>
              </a:solidFill>
              <a:latin typeface="Calibri"/>
              <a:ea typeface="Calibri"/>
              <a:cs typeface="Calibri"/>
            </a:rPr>
            <a:pPr/>
            <a:t>1213</a:t>
          </a:fld>
          <a:endParaRPr lang="en-US" sz="1100" b="1">
            <a:solidFill>
              <a:srgbClr val="0070C0"/>
            </a:solidFill>
          </a:endParaRPr>
        </a:p>
      </xdr:txBody>
    </xdr:sp>
    <xdr:clientData/>
  </xdr:twoCellAnchor>
  <xdr:twoCellAnchor>
    <xdr:from>
      <xdr:col>33</xdr:col>
      <xdr:colOff>9525</xdr:colOff>
      <xdr:row>128</xdr:row>
      <xdr:rowOff>104775</xdr:rowOff>
    </xdr:from>
    <xdr:to>
      <xdr:col>41</xdr:col>
      <xdr:colOff>71182</xdr:colOff>
      <xdr:row>129</xdr:row>
      <xdr:rowOff>115981</xdr:rowOff>
    </xdr:to>
    <xdr:sp macro="" textlink="GB26">
      <xdr:nvSpPr>
        <xdr:cNvPr id="57" name="TextBox 56">
          <a:extLst>
            <a:ext uri="{FF2B5EF4-FFF2-40B4-BE49-F238E27FC236}">
              <a16:creationId xmlns:a16="http://schemas.microsoft.com/office/drawing/2014/main" id="{C333954C-0884-4316-B5A0-F29E41DF70B6}"/>
            </a:ext>
          </a:extLst>
        </xdr:cNvPr>
        <xdr:cNvSpPr txBox="1"/>
      </xdr:nvSpPr>
      <xdr:spPr>
        <a:xfrm>
          <a:off x="5981700" y="29365575"/>
          <a:ext cx="1509457" cy="239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2D7B9E0-CD58-46B6-AC1F-5CAD7EEDA105}" type="TxLink">
            <a:rPr lang="en-US" sz="1100" b="1" i="0" u="none" strike="noStrike">
              <a:solidFill>
                <a:srgbClr val="00B0F0"/>
              </a:solidFill>
              <a:latin typeface="Calibri"/>
              <a:ea typeface="Calibri"/>
              <a:cs typeface="Calibri"/>
            </a:rPr>
            <a:pPr/>
            <a:t>1454</a:t>
          </a:fld>
          <a:endParaRPr lang="en-US" sz="1100" b="1">
            <a:solidFill>
              <a:srgbClr val="00B0F0"/>
            </a:solidFill>
          </a:endParaRPr>
        </a:p>
      </xdr:txBody>
    </xdr:sp>
    <xdr:clientData/>
  </xdr:twoCellAnchor>
  <xdr:twoCellAnchor>
    <xdr:from>
      <xdr:col>33</xdr:col>
      <xdr:colOff>19050</xdr:colOff>
      <xdr:row>127</xdr:row>
      <xdr:rowOff>200025</xdr:rowOff>
    </xdr:from>
    <xdr:to>
      <xdr:col>42</xdr:col>
      <xdr:colOff>83885</xdr:colOff>
      <xdr:row>128</xdr:row>
      <xdr:rowOff>208510</xdr:rowOff>
    </xdr:to>
    <xdr:sp macro="" textlink="DJ8">
      <xdr:nvSpPr>
        <xdr:cNvPr id="59" name="TextBox 58">
          <a:extLst>
            <a:ext uri="{FF2B5EF4-FFF2-40B4-BE49-F238E27FC236}">
              <a16:creationId xmlns:a16="http://schemas.microsoft.com/office/drawing/2014/main" id="{B2788DB0-7A80-48BA-AF59-076EBEF2B075}"/>
            </a:ext>
          </a:extLst>
        </xdr:cNvPr>
        <xdr:cNvSpPr txBox="1"/>
      </xdr:nvSpPr>
      <xdr:spPr>
        <a:xfrm>
          <a:off x="5991225" y="29232225"/>
          <a:ext cx="1693610" cy="237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043228B-9706-4C65-9A50-298B27068A8C}" type="TxLink">
            <a:rPr lang="en-US" sz="1100" b="1" i="0" u="none" strike="noStrike">
              <a:solidFill>
                <a:srgbClr val="FF0000"/>
              </a:solidFill>
              <a:latin typeface="Calibri"/>
              <a:ea typeface="Calibri"/>
              <a:cs typeface="Calibri"/>
            </a:rPr>
            <a:pPr/>
            <a:t>1100</a:t>
          </a:fld>
          <a:endParaRPr lang="en-US" sz="1100" b="1">
            <a:solidFill>
              <a:srgbClr val="FF0000"/>
            </a:solidFill>
          </a:endParaRPr>
        </a:p>
      </xdr:txBody>
    </xdr:sp>
    <xdr:clientData/>
  </xdr:twoCellAnchor>
  <xdr:twoCellAnchor>
    <xdr:from>
      <xdr:col>28</xdr:col>
      <xdr:colOff>57150</xdr:colOff>
      <xdr:row>128</xdr:row>
      <xdr:rowOff>0</xdr:rowOff>
    </xdr:from>
    <xdr:to>
      <xdr:col>32</xdr:col>
      <xdr:colOff>161925</xdr:colOff>
      <xdr:row>128</xdr:row>
      <xdr:rowOff>0</xdr:rowOff>
    </xdr:to>
    <xdr:cxnSp macro="">
      <xdr:nvCxnSpPr>
        <xdr:cNvPr id="61" name="Straight Connector 60">
          <a:extLst>
            <a:ext uri="{FF2B5EF4-FFF2-40B4-BE49-F238E27FC236}">
              <a16:creationId xmlns:a16="http://schemas.microsoft.com/office/drawing/2014/main" id="{3942D8B0-355F-2263-17AE-7B7CBD4113EE}"/>
            </a:ext>
          </a:extLst>
        </xdr:cNvPr>
        <xdr:cNvCxnSpPr/>
      </xdr:nvCxnSpPr>
      <xdr:spPr>
        <a:xfrm>
          <a:off x="5124450" y="29260800"/>
          <a:ext cx="828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28575</xdr:colOff>
      <xdr:row>128</xdr:row>
      <xdr:rowOff>0</xdr:rowOff>
    </xdr:from>
    <xdr:to>
      <xdr:col>36</xdr:col>
      <xdr:colOff>38100</xdr:colOff>
      <xdr:row>128</xdr:row>
      <xdr:rowOff>0</xdr:rowOff>
    </xdr:to>
    <xdr:cxnSp macro="">
      <xdr:nvCxnSpPr>
        <xdr:cNvPr id="64" name="Straight Connector 63">
          <a:extLst>
            <a:ext uri="{FF2B5EF4-FFF2-40B4-BE49-F238E27FC236}">
              <a16:creationId xmlns:a16="http://schemas.microsoft.com/office/drawing/2014/main" id="{8C17F348-F5C6-41C3-AFF6-B4BD3ED2142C}"/>
            </a:ext>
          </a:extLst>
        </xdr:cNvPr>
        <xdr:cNvCxnSpPr/>
      </xdr:nvCxnSpPr>
      <xdr:spPr>
        <a:xfrm>
          <a:off x="6000750" y="29260800"/>
          <a:ext cx="552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141</xdr:row>
      <xdr:rowOff>47625</xdr:rowOff>
    </xdr:from>
    <xdr:to>
      <xdr:col>40</xdr:col>
      <xdr:colOff>114300</xdr:colOff>
      <xdr:row>145</xdr:row>
      <xdr:rowOff>123825</xdr:rowOff>
    </xdr:to>
    <xdr:sp macro="" textlink="">
      <xdr:nvSpPr>
        <xdr:cNvPr id="16" name="TextBox 15">
          <a:extLst>
            <a:ext uri="{FF2B5EF4-FFF2-40B4-BE49-F238E27FC236}">
              <a16:creationId xmlns:a16="http://schemas.microsoft.com/office/drawing/2014/main" id="{30F5B34B-DE4B-45A4-AAD4-C8EEB0A03C47}"/>
            </a:ext>
          </a:extLst>
        </xdr:cNvPr>
        <xdr:cNvSpPr txBox="1"/>
      </xdr:nvSpPr>
      <xdr:spPr>
        <a:xfrm>
          <a:off x="371475" y="32280225"/>
          <a:ext cx="6981825" cy="99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One-line diagram showing analysis results for three system configurations: the first, shown in </a:t>
          </a:r>
          <a:r>
            <a:rPr lang="en-US" sz="1100" b="1">
              <a:solidFill>
                <a:srgbClr val="FF0000"/>
              </a:solidFill>
              <a:effectLst/>
              <a:latin typeface="+mn-lt"/>
              <a:ea typeface="+mn-ea"/>
              <a:cs typeface="+mn-cs"/>
            </a:rPr>
            <a:t>red text</a:t>
          </a:r>
          <a:r>
            <a:rPr lang="en-US" sz="1100">
              <a:solidFill>
                <a:schemeClr val="dk1"/>
              </a:solidFill>
              <a:effectLst/>
              <a:latin typeface="+mn-lt"/>
              <a:ea typeface="+mn-ea"/>
              <a:cs typeface="+mn-cs"/>
            </a:rPr>
            <a:t>, represents operation with no assistance from either the MotorVAR or the line reactor, the second, shown in </a:t>
          </a:r>
          <a:r>
            <a:rPr lang="en-US" sz="1100" b="1">
              <a:solidFill>
                <a:srgbClr val="00B0F0"/>
              </a:solidFill>
              <a:effectLst/>
              <a:latin typeface="+mn-lt"/>
              <a:ea typeface="+mn-ea"/>
              <a:cs typeface="+mn-cs"/>
            </a:rPr>
            <a:t>light blue</a:t>
          </a:r>
          <a:r>
            <a:rPr lang="en-US" sz="1100">
              <a:solidFill>
                <a:schemeClr val="dk1"/>
              </a:solidFill>
              <a:effectLst/>
              <a:latin typeface="+mn-lt"/>
              <a:ea typeface="+mn-ea"/>
              <a:cs typeface="+mn-cs"/>
            </a:rPr>
            <a:t>, represents the MotorVAR-only case with the line reactor bypassed; and the third, shown in </a:t>
          </a:r>
          <a:r>
            <a:rPr lang="en-US" sz="1100" b="1">
              <a:solidFill>
                <a:srgbClr val="0070C0"/>
              </a:solidFill>
              <a:effectLst/>
              <a:latin typeface="+mn-lt"/>
              <a:ea typeface="+mn-ea"/>
              <a:cs typeface="+mn-cs"/>
            </a:rPr>
            <a:t>dark blue</a:t>
          </a:r>
          <a:r>
            <a:rPr lang="en-US" sz="1100">
              <a:solidFill>
                <a:schemeClr val="dk1"/>
              </a:solidFill>
              <a:effectLst/>
              <a:latin typeface="+mn-lt"/>
              <a:ea typeface="+mn-ea"/>
              <a:cs typeface="+mn-cs"/>
            </a:rPr>
            <a:t>, represents operation with both the MotorVAR + Reactor in service.</a:t>
          </a:r>
          <a:endParaRPr lang="en-US">
            <a:effectLst/>
          </a:endParaRPr>
        </a:p>
        <a:p>
          <a:endParaRPr lang="en-US" sz="1100"/>
        </a:p>
      </xdr:txBody>
    </xdr:sp>
    <xdr:clientData/>
  </xdr:twoCellAnchor>
  <xdr:twoCellAnchor>
    <xdr:from>
      <xdr:col>37</xdr:col>
      <xdr:colOff>66675</xdr:colOff>
      <xdr:row>128</xdr:row>
      <xdr:rowOff>0</xdr:rowOff>
    </xdr:from>
    <xdr:to>
      <xdr:col>41</xdr:col>
      <xdr:colOff>0</xdr:colOff>
      <xdr:row>128</xdr:row>
      <xdr:rowOff>0</xdr:rowOff>
    </xdr:to>
    <xdr:cxnSp macro="">
      <xdr:nvCxnSpPr>
        <xdr:cNvPr id="23" name="Straight Connector 22">
          <a:extLst>
            <a:ext uri="{FF2B5EF4-FFF2-40B4-BE49-F238E27FC236}">
              <a16:creationId xmlns:a16="http://schemas.microsoft.com/office/drawing/2014/main" id="{8F24D266-519C-4056-8E96-37E678F50422}"/>
            </a:ext>
          </a:extLst>
        </xdr:cNvPr>
        <xdr:cNvCxnSpPr/>
      </xdr:nvCxnSpPr>
      <xdr:spPr>
        <a:xfrm>
          <a:off x="6762750" y="29260800"/>
          <a:ext cx="657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133350</xdr:colOff>
      <xdr:row>126</xdr:row>
      <xdr:rowOff>19050</xdr:rowOff>
    </xdr:from>
    <xdr:to>
      <xdr:col>39</xdr:col>
      <xdr:colOff>178175</xdr:colOff>
      <xdr:row>127</xdr:row>
      <xdr:rowOff>90928</xdr:rowOff>
    </xdr:to>
    <xdr:sp macro="" textlink="">
      <xdr:nvSpPr>
        <xdr:cNvPr id="38" name="TextBox 37">
          <a:extLst>
            <a:ext uri="{FF2B5EF4-FFF2-40B4-BE49-F238E27FC236}">
              <a16:creationId xmlns:a16="http://schemas.microsoft.com/office/drawing/2014/main" id="{4A8C2E6B-6B85-4E22-91A2-751331CF3C80}"/>
            </a:ext>
          </a:extLst>
        </xdr:cNvPr>
        <xdr:cNvSpPr txBox="1"/>
      </xdr:nvSpPr>
      <xdr:spPr>
        <a:xfrm>
          <a:off x="6105525" y="28822650"/>
          <a:ext cx="1130675" cy="300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Starting Current</a:t>
          </a:r>
        </a:p>
      </xdr:txBody>
    </xdr:sp>
    <xdr:clientData/>
  </xdr:twoCellAnchor>
  <xdr:twoCellAnchor>
    <xdr:from>
      <xdr:col>33</xdr:col>
      <xdr:colOff>95250</xdr:colOff>
      <xdr:row>127</xdr:row>
      <xdr:rowOff>19050</xdr:rowOff>
    </xdr:from>
    <xdr:to>
      <xdr:col>41</xdr:col>
      <xdr:colOff>9525</xdr:colOff>
      <xdr:row>127</xdr:row>
      <xdr:rowOff>19050</xdr:rowOff>
    </xdr:to>
    <xdr:cxnSp macro="">
      <xdr:nvCxnSpPr>
        <xdr:cNvPr id="52" name="Straight Connector 51">
          <a:extLst>
            <a:ext uri="{FF2B5EF4-FFF2-40B4-BE49-F238E27FC236}">
              <a16:creationId xmlns:a16="http://schemas.microsoft.com/office/drawing/2014/main" id="{C4DEA574-765A-13A2-41DC-41A1BEECF078}"/>
            </a:ext>
          </a:extLst>
        </xdr:cNvPr>
        <xdr:cNvCxnSpPr/>
      </xdr:nvCxnSpPr>
      <xdr:spPr>
        <a:xfrm>
          <a:off x="6067425" y="29051250"/>
          <a:ext cx="1362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104775</xdr:colOff>
      <xdr:row>116</xdr:row>
      <xdr:rowOff>219075</xdr:rowOff>
    </xdr:from>
    <xdr:to>
      <xdr:col>18</xdr:col>
      <xdr:colOff>171450</xdr:colOff>
      <xdr:row>119</xdr:row>
      <xdr:rowOff>114300</xdr:rowOff>
    </xdr:to>
    <xdr:sp macro="" textlink="">
      <xdr:nvSpPr>
        <xdr:cNvPr id="58" name="TextBox 57">
          <a:extLst>
            <a:ext uri="{FF2B5EF4-FFF2-40B4-BE49-F238E27FC236}">
              <a16:creationId xmlns:a16="http://schemas.microsoft.com/office/drawing/2014/main" id="{50F825E8-D2CD-45AC-A4E4-2D1F067F2CF9}"/>
            </a:ext>
          </a:extLst>
        </xdr:cNvPr>
        <xdr:cNvSpPr txBox="1"/>
      </xdr:nvSpPr>
      <xdr:spPr>
        <a:xfrm>
          <a:off x="1914525" y="26736675"/>
          <a:ext cx="15144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a:t>Step-Down</a:t>
          </a:r>
          <a:br>
            <a:rPr lang="en-US" sz="1100"/>
          </a:br>
          <a:r>
            <a:rPr lang="en-US" sz="1100"/>
            <a:t>Transformer</a:t>
          </a:r>
        </a:p>
      </xdr:txBody>
    </xdr:sp>
    <xdr:clientData/>
  </xdr:twoCellAnchor>
  <xdr:twoCellAnchor>
    <xdr:from>
      <xdr:col>20</xdr:col>
      <xdr:colOff>95250</xdr:colOff>
      <xdr:row>30</xdr:row>
      <xdr:rowOff>66675</xdr:rowOff>
    </xdr:from>
    <xdr:to>
      <xdr:col>28</xdr:col>
      <xdr:colOff>161925</xdr:colOff>
      <xdr:row>32</xdr:row>
      <xdr:rowOff>190500</xdr:rowOff>
    </xdr:to>
    <xdr:sp macro="" textlink="">
      <xdr:nvSpPr>
        <xdr:cNvPr id="60" name="TextBox 59">
          <a:extLst>
            <a:ext uri="{FF2B5EF4-FFF2-40B4-BE49-F238E27FC236}">
              <a16:creationId xmlns:a16="http://schemas.microsoft.com/office/drawing/2014/main" id="{ED6E28BF-50CF-4F3F-8058-98810BC6F2B7}"/>
            </a:ext>
          </a:extLst>
        </xdr:cNvPr>
        <xdr:cNvSpPr txBox="1"/>
      </xdr:nvSpPr>
      <xdr:spPr>
        <a:xfrm>
          <a:off x="3714750" y="6924675"/>
          <a:ext cx="15144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a:t>Step-Down</a:t>
          </a:r>
          <a:br>
            <a:rPr lang="en-US" sz="1100"/>
          </a:br>
          <a:r>
            <a:rPr lang="en-US" sz="1100"/>
            <a:t>Transformer</a:t>
          </a:r>
        </a:p>
      </xdr:txBody>
    </xdr:sp>
    <xdr:clientData/>
  </xdr:twoCellAnchor>
  <xdr:twoCellAnchor>
    <xdr:from>
      <xdr:col>27</xdr:col>
      <xdr:colOff>142875</xdr:colOff>
      <xdr:row>23</xdr:row>
      <xdr:rowOff>152400</xdr:rowOff>
    </xdr:from>
    <xdr:to>
      <xdr:col>32</xdr:col>
      <xdr:colOff>114300</xdr:colOff>
      <xdr:row>24</xdr:row>
      <xdr:rowOff>142875</xdr:rowOff>
    </xdr:to>
    <xdr:sp macro="" textlink="">
      <xdr:nvSpPr>
        <xdr:cNvPr id="62" name="TextBox 61">
          <a:extLst>
            <a:ext uri="{FF2B5EF4-FFF2-40B4-BE49-F238E27FC236}">
              <a16:creationId xmlns:a16="http://schemas.microsoft.com/office/drawing/2014/main" id="{612BF8D2-322F-4AD2-90F1-BFADF142213F}"/>
            </a:ext>
          </a:extLst>
        </xdr:cNvPr>
        <xdr:cNvSpPr txBox="1"/>
      </xdr:nvSpPr>
      <xdr:spPr>
        <a:xfrm>
          <a:off x="5029200" y="5410200"/>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a:t>Source</a:t>
          </a:r>
        </a:p>
      </xdr:txBody>
    </xdr:sp>
    <xdr:clientData/>
  </xdr:twoCellAnchor>
  <xdr:twoCellAnchor>
    <xdr:from>
      <xdr:col>33</xdr:col>
      <xdr:colOff>66675</xdr:colOff>
      <xdr:row>38</xdr:row>
      <xdr:rowOff>85725</xdr:rowOff>
    </xdr:from>
    <xdr:to>
      <xdr:col>38</xdr:col>
      <xdr:colOff>38100</xdr:colOff>
      <xdr:row>39</xdr:row>
      <xdr:rowOff>76200</xdr:rowOff>
    </xdr:to>
    <xdr:sp macro="" textlink="">
      <xdr:nvSpPr>
        <xdr:cNvPr id="63" name="TextBox 62">
          <a:extLst>
            <a:ext uri="{FF2B5EF4-FFF2-40B4-BE49-F238E27FC236}">
              <a16:creationId xmlns:a16="http://schemas.microsoft.com/office/drawing/2014/main" id="{2D05D12C-6799-411D-8013-7D403F14757C}"/>
            </a:ext>
          </a:extLst>
        </xdr:cNvPr>
        <xdr:cNvSpPr txBox="1"/>
      </xdr:nvSpPr>
      <xdr:spPr>
        <a:xfrm>
          <a:off x="6038850" y="8772525"/>
          <a:ext cx="87630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t>M</a:t>
          </a:r>
        </a:p>
      </xdr:txBody>
    </xdr:sp>
    <xdr:clientData/>
  </xdr:twoCellAnchor>
  <xdr:twoCellAnchor>
    <xdr:from>
      <xdr:col>19</xdr:col>
      <xdr:colOff>123825</xdr:colOff>
      <xdr:row>130</xdr:row>
      <xdr:rowOff>66675</xdr:rowOff>
    </xdr:from>
    <xdr:to>
      <xdr:col>24</xdr:col>
      <xdr:colOff>161925</xdr:colOff>
      <xdr:row>131</xdr:row>
      <xdr:rowOff>123825</xdr:rowOff>
    </xdr:to>
    <xdr:sp macro="" textlink="">
      <xdr:nvSpPr>
        <xdr:cNvPr id="19" name="TextBox 18">
          <a:extLst>
            <a:ext uri="{FF2B5EF4-FFF2-40B4-BE49-F238E27FC236}">
              <a16:creationId xmlns:a16="http://schemas.microsoft.com/office/drawing/2014/main" id="{C44C7D41-4B90-4B63-8D02-13C33175FFFB}"/>
            </a:ext>
          </a:extLst>
        </xdr:cNvPr>
        <xdr:cNvSpPr txBox="1"/>
      </xdr:nvSpPr>
      <xdr:spPr>
        <a:xfrm>
          <a:off x="3562350" y="29784675"/>
          <a:ext cx="9429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Controls</a:t>
          </a:r>
        </a:p>
      </xdr:txBody>
    </xdr:sp>
    <xdr:clientData/>
  </xdr:twoCellAnchor>
  <xdr:twoCellAnchor>
    <xdr:from>
      <xdr:col>28</xdr:col>
      <xdr:colOff>161925</xdr:colOff>
      <xdr:row>40</xdr:row>
      <xdr:rowOff>95250</xdr:rowOff>
    </xdr:from>
    <xdr:to>
      <xdr:col>34</xdr:col>
      <xdr:colOff>19050</xdr:colOff>
      <xdr:row>41</xdr:row>
      <xdr:rowOff>152400</xdr:rowOff>
    </xdr:to>
    <xdr:sp macro="" textlink="">
      <xdr:nvSpPr>
        <xdr:cNvPr id="50" name="TextBox 49">
          <a:extLst>
            <a:ext uri="{FF2B5EF4-FFF2-40B4-BE49-F238E27FC236}">
              <a16:creationId xmlns:a16="http://schemas.microsoft.com/office/drawing/2014/main" id="{68763816-B36F-4DC5-8E67-59C197680E62}"/>
            </a:ext>
          </a:extLst>
        </xdr:cNvPr>
        <xdr:cNvSpPr txBox="1"/>
      </xdr:nvSpPr>
      <xdr:spPr>
        <a:xfrm>
          <a:off x="5229225" y="9239250"/>
          <a:ext cx="9429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Controls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B6AF-7BB8-4F64-9CB4-2D7658D5D6BE}">
  <sheetPr>
    <pageSetUpPr fitToPage="1"/>
  </sheetPr>
  <dimension ref="B1:IO305"/>
  <sheetViews>
    <sheetView zoomScale="115" zoomScaleNormal="115" workbookViewId="0">
      <selection activeCell="CJ7" sqref="CJ7"/>
    </sheetView>
  </sheetViews>
  <sheetFormatPr defaultRowHeight="15" x14ac:dyDescent="0.25"/>
  <cols>
    <col min="1" max="128" width="2.7109375" style="1" customWidth="1"/>
    <col min="129" max="131" width="2.7109375" style="2" customWidth="1"/>
    <col min="132" max="133" width="2.7109375" style="1" customWidth="1"/>
    <col min="134" max="148" width="2.7109375" style="3"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x14ac:dyDescent="0.25"/>
    <row r="2" spans="2:148"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48" ht="18" customHeight="1" x14ac:dyDescent="0.25">
      <c r="B3" s="7"/>
      <c r="AO3" s="8" t="s">
        <v>0</v>
      </c>
      <c r="AP3" s="9"/>
      <c r="AR3" s="7"/>
      <c r="CF3" s="9"/>
    </row>
    <row r="4" spans="2:148" ht="18" customHeight="1" x14ac:dyDescent="0.25">
      <c r="B4" s="7"/>
      <c r="AO4" s="10" t="s">
        <v>1</v>
      </c>
      <c r="AP4" s="9"/>
      <c r="AR4" s="7"/>
      <c r="CF4" s="9"/>
      <c r="DY4" s="1"/>
      <c r="DZ4" s="1"/>
      <c r="EA4" s="1"/>
      <c r="ED4" s="1"/>
      <c r="EE4" s="1"/>
      <c r="EF4" s="1"/>
      <c r="EG4" s="1"/>
      <c r="EH4" s="1"/>
      <c r="EI4" s="1"/>
      <c r="EJ4" s="1"/>
      <c r="EK4" s="1"/>
      <c r="EL4" s="1"/>
      <c r="EM4" s="1"/>
      <c r="EN4" s="1"/>
      <c r="EO4" s="1"/>
      <c r="EP4" s="1"/>
      <c r="EQ4" s="1"/>
      <c r="ER4" s="1"/>
    </row>
    <row r="5" spans="2:148" ht="18" customHeight="1" thickBot="1" x14ac:dyDescent="0.3">
      <c r="B5" s="7"/>
      <c r="AO5" s="10" t="s">
        <v>2</v>
      </c>
      <c r="AP5" s="9"/>
      <c r="AR5" s="7"/>
      <c r="AS5" s="11" t="s">
        <v>246</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DY5" s="1"/>
      <c r="DZ5" s="1"/>
      <c r="EA5" s="1"/>
      <c r="ED5" s="1"/>
      <c r="EE5" s="1"/>
      <c r="EF5" s="1"/>
      <c r="EG5" s="1"/>
      <c r="EH5" s="1"/>
      <c r="EI5" s="1"/>
      <c r="EJ5" s="1"/>
      <c r="EK5" s="1"/>
      <c r="EL5" s="1"/>
      <c r="EM5" s="1"/>
      <c r="EN5" s="1"/>
      <c r="EO5" s="1"/>
      <c r="EP5" s="1"/>
      <c r="EQ5" s="1"/>
      <c r="ER5" s="1"/>
    </row>
    <row r="6" spans="2:148"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DY6" s="1"/>
      <c r="DZ6" s="1"/>
      <c r="EA6" s="1"/>
      <c r="ED6" s="1"/>
      <c r="EE6" s="1"/>
      <c r="EF6" s="1"/>
      <c r="EG6" s="1"/>
      <c r="EH6" s="1"/>
      <c r="EI6" s="1"/>
      <c r="EJ6" s="1"/>
      <c r="EK6" s="1"/>
      <c r="EL6" s="1"/>
      <c r="EM6" s="1"/>
      <c r="EN6" s="1"/>
      <c r="EO6" s="1"/>
      <c r="EP6" s="1"/>
      <c r="EQ6" s="1"/>
      <c r="ER6" s="1"/>
    </row>
    <row r="7" spans="2:148" ht="18" customHeight="1" x14ac:dyDescent="0.25">
      <c r="B7" s="7"/>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
      <c r="AR7" s="7"/>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9"/>
      <c r="DY7" s="1"/>
      <c r="DZ7" s="1"/>
      <c r="EA7" s="1"/>
      <c r="ED7" s="1"/>
      <c r="EE7" s="1"/>
      <c r="EF7" s="1"/>
      <c r="EG7" s="1"/>
      <c r="EH7" s="1"/>
      <c r="EI7" s="1"/>
      <c r="EJ7" s="1"/>
      <c r="EK7" s="1"/>
      <c r="EL7" s="1"/>
      <c r="EM7" s="1"/>
      <c r="EN7" s="1"/>
      <c r="EO7" s="1"/>
      <c r="EP7" s="1"/>
      <c r="EQ7" s="1"/>
      <c r="ER7" s="1"/>
    </row>
    <row r="8" spans="2:148" ht="18" customHeight="1" x14ac:dyDescent="0.25">
      <c r="B8" s="7"/>
      <c r="C8" s="171" t="s">
        <v>245</v>
      </c>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9"/>
      <c r="AR8" s="7"/>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9"/>
      <c r="DY8" s="1"/>
      <c r="DZ8" s="1"/>
      <c r="EA8" s="1"/>
      <c r="ED8" s="1"/>
      <c r="EE8" s="1"/>
      <c r="EF8" s="1"/>
      <c r="EG8" s="1"/>
      <c r="EH8" s="1"/>
      <c r="EI8" s="1"/>
      <c r="EJ8" s="1"/>
      <c r="EK8" s="1"/>
      <c r="EL8" s="1"/>
      <c r="EM8" s="1"/>
      <c r="EN8" s="1"/>
      <c r="EO8" s="1"/>
      <c r="EP8" s="1"/>
      <c r="EQ8" s="1"/>
      <c r="ER8" s="1"/>
    </row>
    <row r="9" spans="2:148" ht="18" customHeight="1" x14ac:dyDescent="0.25">
      <c r="B9" s="7"/>
      <c r="C9" s="171"/>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9"/>
      <c r="AR9" s="7"/>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9"/>
      <c r="DY9" s="1"/>
      <c r="DZ9" s="1"/>
      <c r="EA9" s="1"/>
      <c r="ED9" s="1"/>
      <c r="EE9" s="1"/>
      <c r="EF9" s="1"/>
      <c r="EG9" s="1"/>
      <c r="EH9" s="1"/>
      <c r="EI9" s="1"/>
      <c r="EJ9" s="1"/>
      <c r="EK9" s="1"/>
      <c r="EL9" s="1"/>
      <c r="EM9" s="1"/>
      <c r="EN9" s="1"/>
      <c r="EO9" s="1"/>
      <c r="EP9" s="1"/>
      <c r="EQ9" s="1"/>
      <c r="ER9" s="1"/>
    </row>
    <row r="10" spans="2:148" ht="18" customHeight="1" x14ac:dyDescent="0.25">
      <c r="B10" s="7"/>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9"/>
      <c r="AR10" s="7"/>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9"/>
      <c r="DY10" s="1"/>
      <c r="DZ10" s="1"/>
      <c r="EA10" s="1"/>
      <c r="ED10" s="1"/>
      <c r="EE10" s="1"/>
      <c r="EF10" s="1"/>
      <c r="EG10" s="1"/>
      <c r="EH10" s="1"/>
      <c r="EI10" s="1"/>
      <c r="EJ10" s="1"/>
      <c r="EK10" s="1"/>
      <c r="EL10" s="1"/>
      <c r="EM10" s="1"/>
      <c r="EN10" s="1"/>
      <c r="EO10" s="1"/>
      <c r="EP10" s="1"/>
      <c r="EQ10" s="1"/>
      <c r="ER10" s="1"/>
    </row>
    <row r="11" spans="2:148" ht="18" customHeight="1" x14ac:dyDescent="0.25">
      <c r="B11" s="7"/>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9"/>
      <c r="AR11" s="7"/>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9"/>
      <c r="DY11" s="1"/>
      <c r="DZ11" s="1"/>
      <c r="EA11" s="1"/>
      <c r="ED11" s="1"/>
      <c r="EE11" s="1"/>
      <c r="EF11" s="1"/>
      <c r="EG11" s="1"/>
      <c r="EH11" s="1"/>
      <c r="EI11" s="1"/>
      <c r="EJ11" s="1"/>
      <c r="EK11" s="1"/>
      <c r="EL11" s="1"/>
      <c r="EM11" s="1"/>
      <c r="EN11" s="1"/>
      <c r="EO11" s="1"/>
      <c r="EP11" s="1"/>
      <c r="EQ11" s="1"/>
      <c r="ER11" s="1"/>
    </row>
    <row r="12" spans="2:148" ht="18" customHeight="1" x14ac:dyDescent="0.25">
      <c r="B12" s="7"/>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9"/>
      <c r="AR12" s="7"/>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9"/>
      <c r="DY12" s="1"/>
      <c r="DZ12" s="1"/>
      <c r="EA12" s="1"/>
      <c r="ED12" s="1"/>
      <c r="EE12" s="1"/>
      <c r="EF12" s="1"/>
      <c r="EG12" s="1"/>
      <c r="EH12" s="1"/>
      <c r="EI12" s="1"/>
      <c r="EJ12" s="1"/>
      <c r="EK12" s="1"/>
      <c r="EL12" s="1"/>
      <c r="EM12" s="1"/>
      <c r="EN12" s="1"/>
      <c r="EO12" s="1"/>
      <c r="EP12" s="1"/>
      <c r="EQ12" s="1"/>
      <c r="ER12" s="1"/>
    </row>
    <row r="13" spans="2:148" ht="18" customHeight="1" x14ac:dyDescent="0.25">
      <c r="B13" s="7"/>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9"/>
      <c r="AR13" s="7"/>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9"/>
      <c r="DY13" s="1"/>
      <c r="DZ13" s="1"/>
      <c r="EA13" s="1"/>
      <c r="ED13" s="1"/>
      <c r="EE13" s="1"/>
      <c r="EF13" s="1"/>
      <c r="EG13" s="1"/>
      <c r="EH13" s="1"/>
      <c r="EI13" s="1"/>
      <c r="EJ13" s="1"/>
      <c r="EK13" s="1"/>
      <c r="EL13" s="1"/>
      <c r="EM13" s="1"/>
      <c r="EN13" s="1"/>
      <c r="EO13" s="1"/>
      <c r="EP13" s="1"/>
      <c r="EQ13" s="1"/>
      <c r="ER13" s="1"/>
    </row>
    <row r="14" spans="2:148" ht="18" customHeight="1" x14ac:dyDescent="0.25">
      <c r="B14" s="7"/>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9"/>
      <c r="AR14" s="7"/>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9"/>
      <c r="DY14" s="1"/>
      <c r="DZ14" s="1"/>
      <c r="EA14" s="1"/>
      <c r="ED14" s="1"/>
      <c r="EE14" s="1"/>
      <c r="EF14" s="1"/>
      <c r="EG14" s="1"/>
      <c r="EH14" s="1"/>
      <c r="EI14" s="1"/>
      <c r="EJ14" s="1"/>
      <c r="EK14" s="1"/>
      <c r="EL14" s="1"/>
      <c r="EM14" s="1"/>
      <c r="EN14" s="1"/>
      <c r="EO14" s="1"/>
      <c r="EP14" s="1"/>
      <c r="EQ14" s="1"/>
      <c r="ER14" s="1"/>
    </row>
    <row r="15" spans="2:148" ht="18" customHeight="1" x14ac:dyDescent="0.25">
      <c r="B15" s="7"/>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9"/>
      <c r="AR15" s="7"/>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9"/>
      <c r="DY15" s="1"/>
      <c r="DZ15" s="1"/>
      <c r="EA15" s="1"/>
      <c r="ED15" s="1"/>
      <c r="EE15" s="1"/>
      <c r="EF15" s="1"/>
      <c r="EG15" s="1"/>
      <c r="EH15" s="1"/>
      <c r="EI15" s="1"/>
      <c r="EJ15" s="1"/>
      <c r="EK15" s="1"/>
      <c r="EL15" s="1"/>
      <c r="EM15" s="1"/>
      <c r="EN15" s="1"/>
      <c r="EO15" s="1"/>
      <c r="EP15" s="1"/>
      <c r="EQ15" s="1"/>
      <c r="ER15" s="1"/>
    </row>
    <row r="16" spans="2:148" ht="18" customHeight="1" x14ac:dyDescent="0.25">
      <c r="B16" s="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9"/>
      <c r="AR16" s="7"/>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9"/>
      <c r="DY16" s="1"/>
      <c r="DZ16" s="1"/>
      <c r="EA16" s="1"/>
      <c r="ED16" s="1"/>
      <c r="EE16" s="1"/>
      <c r="EF16" s="1"/>
      <c r="EG16" s="1"/>
      <c r="EH16" s="1"/>
      <c r="EI16" s="1"/>
      <c r="EJ16" s="1"/>
      <c r="EK16" s="1"/>
      <c r="EL16" s="1"/>
      <c r="EM16" s="1"/>
      <c r="EN16" s="1"/>
      <c r="EO16" s="1"/>
      <c r="EP16" s="1"/>
      <c r="EQ16" s="1"/>
      <c r="ER16" s="1"/>
    </row>
    <row r="17" spans="2:148" ht="18" customHeight="1" x14ac:dyDescent="0.25">
      <c r="B17" s="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9"/>
      <c r="AR17" s="7"/>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9"/>
      <c r="DY17" s="1"/>
      <c r="DZ17" s="1"/>
      <c r="EA17" s="1"/>
      <c r="ED17" s="1"/>
      <c r="EE17" s="1"/>
      <c r="EF17" s="1"/>
      <c r="EG17" s="1"/>
      <c r="EH17" s="1"/>
      <c r="EI17" s="1"/>
      <c r="EJ17" s="1"/>
      <c r="EK17" s="1"/>
      <c r="EL17" s="1"/>
      <c r="EM17" s="1"/>
      <c r="EN17" s="1"/>
      <c r="EO17" s="1"/>
      <c r="EP17" s="1"/>
      <c r="EQ17" s="1"/>
      <c r="ER17" s="1"/>
    </row>
    <row r="18" spans="2:148" ht="18" customHeight="1" x14ac:dyDescent="0.25">
      <c r="B18" s="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9"/>
      <c r="AR18" s="7"/>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9"/>
      <c r="DY18" s="1"/>
      <c r="DZ18" s="1"/>
      <c r="EA18" s="1"/>
      <c r="ED18" s="1"/>
      <c r="EE18" s="1"/>
      <c r="EF18" s="1"/>
      <c r="EG18" s="1"/>
      <c r="EH18" s="1"/>
      <c r="EI18" s="1"/>
      <c r="EJ18" s="1"/>
      <c r="EK18" s="1"/>
      <c r="EL18" s="1"/>
      <c r="EM18" s="1"/>
      <c r="EN18" s="1"/>
      <c r="EO18" s="1"/>
      <c r="EP18" s="1"/>
      <c r="EQ18" s="1"/>
      <c r="ER18" s="1"/>
    </row>
    <row r="19" spans="2:148" ht="18" customHeight="1" x14ac:dyDescent="0.25">
      <c r="B19" s="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9"/>
      <c r="AR19" s="7"/>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9"/>
      <c r="DY19" s="1"/>
      <c r="DZ19" s="1"/>
      <c r="EA19" s="1"/>
      <c r="ED19" s="1"/>
      <c r="EE19" s="1"/>
      <c r="EF19" s="1"/>
      <c r="EG19" s="1"/>
      <c r="EH19" s="1"/>
      <c r="EI19" s="1"/>
      <c r="EJ19" s="1"/>
      <c r="EK19" s="1"/>
      <c r="EL19" s="1"/>
      <c r="EM19" s="1"/>
      <c r="EN19" s="1"/>
      <c r="EO19" s="1"/>
      <c r="EP19" s="1"/>
      <c r="EQ19" s="1"/>
      <c r="ER19" s="1"/>
    </row>
    <row r="20" spans="2:148" ht="18" customHeight="1" x14ac:dyDescent="0.25">
      <c r="B20" s="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9"/>
      <c r="AR20" s="7"/>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9"/>
      <c r="DY20" s="1"/>
      <c r="DZ20" s="1"/>
      <c r="EA20" s="1"/>
      <c r="ED20" s="1"/>
      <c r="EE20" s="1"/>
      <c r="EF20" s="1"/>
      <c r="EG20" s="1"/>
      <c r="EH20" s="1"/>
      <c r="EI20" s="1"/>
      <c r="EJ20" s="1"/>
      <c r="EK20" s="1"/>
      <c r="EL20" s="1"/>
      <c r="EM20" s="1"/>
      <c r="EN20" s="1"/>
      <c r="EO20" s="1"/>
      <c r="EP20" s="1"/>
      <c r="EQ20" s="1"/>
      <c r="ER20" s="1"/>
    </row>
    <row r="21" spans="2:148" ht="18" customHeight="1" x14ac:dyDescent="0.25">
      <c r="B21" s="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9"/>
      <c r="AR21" s="7"/>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9"/>
      <c r="DY21" s="1"/>
      <c r="DZ21" s="1"/>
      <c r="EA21" s="1"/>
      <c r="ED21" s="1"/>
      <c r="EE21" s="1"/>
      <c r="EF21" s="1"/>
      <c r="EG21" s="1"/>
      <c r="EH21" s="1"/>
      <c r="EI21" s="1"/>
      <c r="EJ21" s="1"/>
      <c r="EK21" s="1"/>
      <c r="EL21" s="1"/>
      <c r="EM21" s="1"/>
      <c r="EN21" s="1"/>
      <c r="EO21" s="1"/>
      <c r="EP21" s="1"/>
      <c r="EQ21" s="1"/>
      <c r="ER21" s="1"/>
    </row>
    <row r="22" spans="2:148" ht="18" customHeight="1" x14ac:dyDescent="0.25">
      <c r="B22" s="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9"/>
      <c r="AR22" s="7"/>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9"/>
      <c r="DY22" s="1"/>
      <c r="DZ22" s="1"/>
      <c r="EA22" s="1"/>
      <c r="ED22" s="1"/>
      <c r="EE22" s="1"/>
      <c r="EF22" s="1"/>
      <c r="EG22" s="1"/>
      <c r="EH22" s="1"/>
      <c r="EI22" s="1"/>
      <c r="EJ22" s="1"/>
      <c r="EK22" s="1"/>
      <c r="EL22" s="1"/>
      <c r="EM22" s="1"/>
      <c r="EN22" s="1"/>
      <c r="EO22" s="1"/>
      <c r="EP22" s="1"/>
      <c r="EQ22" s="1"/>
      <c r="ER22" s="1"/>
    </row>
    <row r="23" spans="2:148" ht="18" customHeight="1" x14ac:dyDescent="0.25">
      <c r="B23" s="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9"/>
      <c r="AR23" s="7"/>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9"/>
      <c r="DY23" s="1"/>
      <c r="DZ23" s="1"/>
      <c r="EA23" s="1"/>
      <c r="ED23" s="1"/>
      <c r="EE23" s="1"/>
      <c r="EF23" s="1"/>
      <c r="EG23" s="1"/>
      <c r="EH23" s="1"/>
      <c r="EI23" s="1"/>
      <c r="EJ23" s="1"/>
      <c r="EK23" s="1"/>
      <c r="EL23" s="1"/>
      <c r="EM23" s="1"/>
      <c r="EN23" s="1"/>
      <c r="EO23" s="1"/>
      <c r="EP23" s="1"/>
      <c r="EQ23" s="1"/>
      <c r="ER23" s="1"/>
    </row>
    <row r="24" spans="2:148" ht="18" customHeight="1" x14ac:dyDescent="0.25">
      <c r="B24" s="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9"/>
      <c r="AR24" s="7"/>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9"/>
      <c r="DY24" s="1"/>
      <c r="DZ24" s="1"/>
      <c r="EA24" s="1"/>
      <c r="ED24" s="1"/>
      <c r="EE24" s="1"/>
      <c r="EF24" s="1"/>
      <c r="EG24" s="1"/>
      <c r="EH24" s="1"/>
      <c r="EI24" s="1"/>
      <c r="EJ24" s="1"/>
      <c r="EK24" s="1"/>
      <c r="EL24" s="1"/>
      <c r="EM24" s="1"/>
      <c r="EN24" s="1"/>
      <c r="EO24" s="1"/>
      <c r="EP24" s="1"/>
      <c r="EQ24" s="1"/>
      <c r="ER24" s="1"/>
    </row>
    <row r="25" spans="2:148" ht="18" customHeight="1" x14ac:dyDescent="0.3">
      <c r="B25" s="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33"/>
      <c r="AR25" s="7"/>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9"/>
      <c r="DY25" s="1"/>
      <c r="DZ25" s="1"/>
      <c r="EA25" s="1"/>
      <c r="ED25" s="1"/>
      <c r="EE25" s="1"/>
      <c r="EF25" s="1"/>
      <c r="EG25" s="1"/>
      <c r="EH25" s="1"/>
      <c r="EI25" s="1"/>
      <c r="EJ25" s="1"/>
      <c r="EK25" s="1"/>
      <c r="EL25" s="1"/>
      <c r="EM25" s="1"/>
      <c r="EN25" s="1"/>
      <c r="EO25" s="1"/>
      <c r="EP25" s="1"/>
      <c r="EQ25" s="1"/>
      <c r="ER25" s="1"/>
    </row>
    <row r="26" spans="2:148" ht="18" customHeight="1" x14ac:dyDescent="0.25">
      <c r="B26" s="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9"/>
      <c r="AR26" s="7"/>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34"/>
      <c r="DY26" s="1"/>
      <c r="DZ26" s="1"/>
      <c r="EA26" s="1"/>
      <c r="ED26" s="1"/>
      <c r="EE26" s="1"/>
      <c r="EF26" s="1"/>
      <c r="EG26" s="1"/>
      <c r="EH26" s="1"/>
      <c r="EI26" s="1"/>
      <c r="EJ26" s="1"/>
      <c r="EK26" s="1"/>
      <c r="EL26" s="1"/>
      <c r="EM26" s="1"/>
      <c r="EN26" s="1"/>
      <c r="EO26" s="1"/>
      <c r="EP26" s="1"/>
      <c r="EQ26" s="1"/>
      <c r="ER26" s="1"/>
    </row>
    <row r="27" spans="2:148" ht="18" customHeight="1" x14ac:dyDescent="0.25">
      <c r="B27" s="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9"/>
      <c r="AR27" s="7"/>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9"/>
      <c r="DY27" s="1"/>
      <c r="DZ27" s="1"/>
      <c r="EA27" s="1"/>
      <c r="ED27" s="1"/>
      <c r="EE27" s="1"/>
      <c r="EF27" s="1"/>
      <c r="EG27" s="1"/>
      <c r="EH27" s="1"/>
      <c r="EI27" s="1"/>
      <c r="EJ27" s="1"/>
      <c r="EK27" s="1"/>
      <c r="EL27" s="1"/>
      <c r="EM27" s="1"/>
      <c r="EN27" s="1"/>
      <c r="EO27" s="1"/>
      <c r="EP27" s="1"/>
      <c r="EQ27" s="1"/>
      <c r="ER27" s="1"/>
    </row>
    <row r="28" spans="2:148" ht="18" customHeight="1" x14ac:dyDescent="0.25">
      <c r="B28" s="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9"/>
      <c r="AR28" s="7"/>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9"/>
      <c r="DY28" s="1"/>
      <c r="DZ28" s="1"/>
      <c r="EA28" s="1"/>
      <c r="ED28" s="1"/>
      <c r="EE28" s="1"/>
      <c r="EF28" s="1"/>
      <c r="EG28" s="1"/>
      <c r="EH28" s="1"/>
      <c r="EI28" s="1"/>
      <c r="EJ28" s="1"/>
      <c r="EK28" s="1"/>
      <c r="EL28" s="1"/>
      <c r="EM28" s="1"/>
      <c r="EN28" s="1"/>
      <c r="EO28" s="1"/>
      <c r="EP28" s="1"/>
      <c r="EQ28" s="1"/>
      <c r="ER28" s="1"/>
    </row>
    <row r="29" spans="2:148" ht="18" customHeight="1" x14ac:dyDescent="0.25">
      <c r="B29" s="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9"/>
      <c r="AR29" s="7"/>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9"/>
      <c r="DY29" s="1"/>
      <c r="DZ29" s="1"/>
      <c r="EA29" s="1"/>
      <c r="ED29" s="1"/>
      <c r="EE29" s="1"/>
      <c r="EF29" s="1"/>
      <c r="EG29" s="1"/>
      <c r="EH29" s="1"/>
      <c r="EI29" s="1"/>
      <c r="EJ29" s="1"/>
      <c r="EK29" s="1"/>
      <c r="EL29" s="1"/>
      <c r="EM29" s="1"/>
      <c r="EN29" s="1"/>
      <c r="EO29" s="1"/>
      <c r="EP29" s="1"/>
      <c r="EQ29" s="1"/>
      <c r="ER29" s="1"/>
    </row>
    <row r="30" spans="2:148" ht="18" customHeight="1" x14ac:dyDescent="0.25">
      <c r="B30" s="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9"/>
      <c r="AR30" s="7"/>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9"/>
      <c r="DY30" s="1"/>
      <c r="DZ30" s="1"/>
      <c r="EA30" s="1"/>
      <c r="ED30" s="1"/>
      <c r="EE30" s="1"/>
      <c r="EF30" s="1"/>
      <c r="EG30" s="1"/>
      <c r="EH30" s="1"/>
      <c r="EI30" s="1"/>
      <c r="EJ30" s="1"/>
      <c r="EK30" s="1"/>
      <c r="EL30" s="1"/>
      <c r="EM30" s="1"/>
      <c r="EN30" s="1"/>
      <c r="EO30" s="1"/>
      <c r="EP30" s="1"/>
      <c r="EQ30" s="1"/>
      <c r="ER30" s="1"/>
    </row>
    <row r="31" spans="2:148" ht="18" customHeight="1" x14ac:dyDescent="0.25">
      <c r="B31" s="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9"/>
      <c r="AR31" s="7"/>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9"/>
      <c r="DY31" s="1"/>
      <c r="DZ31" s="1"/>
      <c r="EA31" s="1"/>
      <c r="ED31" s="1"/>
      <c r="EE31" s="1"/>
      <c r="EF31" s="1"/>
      <c r="EG31" s="1"/>
      <c r="EH31" s="1"/>
      <c r="EI31" s="1"/>
      <c r="EJ31" s="1"/>
      <c r="EK31" s="1"/>
      <c r="EL31" s="1"/>
      <c r="EM31" s="1"/>
      <c r="EN31" s="1"/>
      <c r="EO31" s="1"/>
      <c r="EP31" s="1"/>
      <c r="EQ31" s="1"/>
      <c r="ER31" s="1"/>
    </row>
    <row r="32" spans="2:148" ht="18" customHeight="1" x14ac:dyDescent="0.25">
      <c r="B32" s="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9"/>
      <c r="AR32" s="7"/>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9"/>
      <c r="DY32" s="1"/>
      <c r="DZ32" s="1"/>
      <c r="EA32" s="1"/>
      <c r="ED32" s="1"/>
      <c r="EE32" s="1"/>
      <c r="EF32" s="1"/>
      <c r="EG32" s="1"/>
      <c r="EH32" s="1"/>
      <c r="EI32" s="1"/>
      <c r="EJ32" s="1"/>
      <c r="EK32" s="1"/>
      <c r="EL32" s="1"/>
      <c r="EM32" s="1"/>
      <c r="EN32" s="1"/>
      <c r="EO32" s="1"/>
      <c r="EP32" s="1"/>
      <c r="EQ32" s="1"/>
      <c r="ER32" s="1"/>
    </row>
    <row r="33" spans="2:249" ht="18" customHeight="1" x14ac:dyDescent="0.25">
      <c r="B33" s="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9"/>
      <c r="AR33" s="7"/>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9"/>
      <c r="DY33" s="1"/>
      <c r="DZ33" s="1"/>
      <c r="EA33" s="1"/>
      <c r="ED33" s="1"/>
      <c r="EE33" s="1"/>
      <c r="EF33" s="1"/>
      <c r="EG33" s="1"/>
      <c r="EH33" s="1"/>
      <c r="EI33" s="1"/>
      <c r="EJ33" s="1"/>
      <c r="EK33" s="1"/>
      <c r="EL33" s="1"/>
      <c r="EM33" s="1"/>
      <c r="EN33" s="1"/>
      <c r="EO33" s="1"/>
      <c r="EP33" s="1"/>
      <c r="EQ33" s="1"/>
      <c r="ER33" s="1"/>
    </row>
    <row r="34" spans="2:249" ht="18" customHeight="1" x14ac:dyDescent="0.25">
      <c r="B34" s="7"/>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9"/>
      <c r="AR34" s="7"/>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9"/>
      <c r="DY34" s="1"/>
      <c r="DZ34" s="1"/>
      <c r="EA34" s="1"/>
      <c r="ED34" s="1"/>
      <c r="EE34" s="1"/>
      <c r="EF34" s="1"/>
      <c r="EG34" s="1"/>
      <c r="EH34" s="1"/>
      <c r="EI34" s="1"/>
      <c r="EJ34" s="1"/>
      <c r="EK34" s="1"/>
      <c r="EL34" s="1"/>
      <c r="EM34" s="1"/>
      <c r="EN34" s="1"/>
      <c r="EO34" s="1"/>
      <c r="EP34" s="1"/>
      <c r="EQ34" s="1"/>
      <c r="ER34" s="1"/>
    </row>
    <row r="35" spans="2:249" ht="18" customHeight="1" x14ac:dyDescent="0.25">
      <c r="B35" s="7"/>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9"/>
      <c r="AR35" s="7"/>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9"/>
      <c r="DY35" s="1"/>
      <c r="DZ35" s="1"/>
      <c r="EA35" s="1"/>
      <c r="ED35" s="1"/>
      <c r="EE35" s="1"/>
      <c r="EF35" s="1"/>
      <c r="EG35" s="1"/>
      <c r="EH35" s="1"/>
      <c r="EI35" s="1"/>
      <c r="EJ35" s="1"/>
      <c r="EK35" s="1"/>
      <c r="EL35" s="1"/>
      <c r="EM35" s="1"/>
      <c r="EN35" s="1"/>
      <c r="EO35" s="1"/>
      <c r="EP35" s="1"/>
      <c r="EQ35" s="1"/>
      <c r="ER35" s="1"/>
      <c r="HC35" s="155"/>
      <c r="HD35" s="155"/>
      <c r="HE35" s="155"/>
      <c r="HF35" s="155"/>
      <c r="HG35" s="155"/>
      <c r="HH35" s="155"/>
      <c r="HI35" s="155"/>
      <c r="HJ35" s="155"/>
      <c r="HK35" s="155"/>
      <c r="HL35" s="155"/>
      <c r="HM35" s="155"/>
      <c r="HN35" s="155"/>
      <c r="HO35" s="155"/>
      <c r="HP35" s="155"/>
      <c r="HQ35" s="155"/>
      <c r="HR35" s="155"/>
      <c r="HS35" s="155"/>
      <c r="HT35" s="155"/>
      <c r="HU35" s="155"/>
      <c r="HV35" s="155"/>
      <c r="HW35" s="155"/>
      <c r="HX35" s="155"/>
      <c r="HY35" s="155"/>
      <c r="HZ35" s="155"/>
      <c r="IA35" s="155"/>
      <c r="IB35" s="155"/>
      <c r="IC35" s="155"/>
      <c r="ID35" s="155"/>
      <c r="IE35" s="155"/>
      <c r="IF35" s="155"/>
      <c r="IG35" s="155"/>
      <c r="IH35" s="155"/>
      <c r="II35" s="155"/>
      <c r="IJ35" s="155"/>
      <c r="IK35" s="155"/>
      <c r="IL35" s="155"/>
      <c r="IM35" s="155"/>
      <c r="IN35" s="155"/>
      <c r="IO35" s="155"/>
    </row>
    <row r="36" spans="2:249" ht="18" customHeight="1" x14ac:dyDescent="0.25">
      <c r="B36" s="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9"/>
      <c r="AR36" s="7"/>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9"/>
      <c r="DY36" s="1"/>
      <c r="DZ36" s="1"/>
      <c r="EA36" s="1"/>
      <c r="ED36" s="1"/>
      <c r="EE36" s="1"/>
      <c r="EF36" s="1"/>
      <c r="EG36" s="1"/>
      <c r="EH36" s="1"/>
      <c r="EI36" s="1"/>
      <c r="EJ36" s="1"/>
      <c r="EK36" s="1"/>
      <c r="EL36" s="1"/>
      <c r="EM36" s="1"/>
      <c r="EN36" s="1"/>
      <c r="EO36" s="1"/>
      <c r="EP36" s="1"/>
      <c r="EQ36" s="1"/>
      <c r="ER36" s="1"/>
      <c r="HC36" s="23"/>
      <c r="HD36" s="23"/>
      <c r="HE36" s="23"/>
      <c r="HF36" s="23"/>
      <c r="HG36" s="23"/>
      <c r="HH36" s="23"/>
      <c r="HI36" s="23"/>
      <c r="HJ36" s="23"/>
      <c r="HK36" s="23"/>
      <c r="HL36" s="23"/>
      <c r="HM36" s="23"/>
      <c r="HN36" s="23"/>
      <c r="HO36" s="23"/>
      <c r="HP36" s="23"/>
      <c r="HQ36" s="23"/>
      <c r="HR36" s="30"/>
      <c r="HS36" s="168"/>
      <c r="HT36" s="169"/>
      <c r="HU36" s="170"/>
      <c r="HV36" s="38"/>
      <c r="HW36" s="23"/>
      <c r="HX36" s="23"/>
      <c r="HY36" s="23"/>
      <c r="HZ36" s="23"/>
      <c r="IA36" s="23"/>
      <c r="IB36" s="23"/>
      <c r="IC36" s="23"/>
      <c r="ID36" s="23"/>
      <c r="IE36" s="23"/>
      <c r="IF36" s="23"/>
      <c r="IG36" s="23"/>
      <c r="IH36" s="23"/>
      <c r="II36" s="23"/>
      <c r="IJ36" s="23"/>
      <c r="IK36" s="23"/>
      <c r="IL36" s="23"/>
      <c r="IM36" s="23"/>
      <c r="IN36" s="23"/>
      <c r="IO36" s="23"/>
    </row>
    <row r="37" spans="2:249" ht="18" customHeight="1" x14ac:dyDescent="0.25">
      <c r="B37" s="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9"/>
      <c r="AR37" s="7"/>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9"/>
      <c r="DY37" s="1"/>
      <c r="DZ37" s="1"/>
      <c r="EA37" s="1"/>
      <c r="ED37" s="1"/>
      <c r="EE37" s="1"/>
      <c r="EF37" s="1"/>
      <c r="EG37" s="1"/>
      <c r="EH37" s="1"/>
      <c r="EI37" s="1"/>
      <c r="EJ37" s="1"/>
      <c r="EK37" s="1"/>
      <c r="EL37" s="1"/>
      <c r="EM37" s="1"/>
      <c r="EN37" s="1"/>
      <c r="EO37" s="1"/>
      <c r="EP37" s="1"/>
      <c r="EQ37" s="1"/>
      <c r="ER37" s="1"/>
      <c r="HC37" s="23"/>
      <c r="HD37" s="23"/>
      <c r="HE37" s="23"/>
      <c r="HF37" s="23"/>
      <c r="HG37" s="23"/>
      <c r="HH37" s="23"/>
      <c r="HI37" s="23"/>
      <c r="HJ37" s="23"/>
      <c r="HK37" s="23"/>
      <c r="HL37" s="23"/>
      <c r="HM37" s="23"/>
      <c r="HN37" s="39"/>
      <c r="HO37" s="176"/>
      <c r="HP37" s="176"/>
      <c r="HQ37" s="176"/>
      <c r="HR37" s="23"/>
      <c r="HS37" s="23"/>
      <c r="HT37" s="23"/>
      <c r="HU37" s="23"/>
      <c r="HV37" s="23"/>
      <c r="HW37" s="23"/>
      <c r="HX37" s="23"/>
      <c r="HY37" s="23"/>
      <c r="HZ37" s="23"/>
      <c r="IA37" s="23"/>
      <c r="IB37" s="23"/>
      <c r="IC37" s="23"/>
      <c r="ID37" s="23"/>
      <c r="IE37" s="23"/>
      <c r="IF37" s="23"/>
      <c r="IG37" s="23"/>
      <c r="IH37" s="23"/>
      <c r="II37" s="30"/>
      <c r="IJ37" s="93"/>
      <c r="IK37" s="93"/>
      <c r="IL37" s="93"/>
      <c r="IM37" s="23"/>
      <c r="IN37" s="23"/>
      <c r="IO37" s="23"/>
    </row>
    <row r="38" spans="2:249" ht="18" customHeight="1" x14ac:dyDescent="0.25">
      <c r="B38" s="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9"/>
      <c r="AR38" s="7"/>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9"/>
      <c r="DY38" s="1"/>
      <c r="DZ38" s="1"/>
      <c r="EA38" s="1"/>
      <c r="ED38" s="1"/>
      <c r="EE38" s="1"/>
      <c r="EF38" s="1"/>
      <c r="EG38" s="1"/>
      <c r="EH38" s="1"/>
      <c r="EI38" s="1"/>
      <c r="EJ38" s="1"/>
      <c r="EK38" s="1"/>
      <c r="EL38" s="1"/>
      <c r="EM38" s="1"/>
      <c r="EN38" s="1"/>
      <c r="EO38" s="1"/>
      <c r="EP38" s="1"/>
      <c r="EQ38" s="1"/>
      <c r="ER38" s="1"/>
      <c r="HN38" s="39"/>
      <c r="HO38" s="93"/>
      <c r="HP38" s="93"/>
      <c r="HQ38" s="93"/>
      <c r="HR38" s="23"/>
      <c r="HS38" s="23"/>
      <c r="HT38" s="23"/>
      <c r="HU38" s="23"/>
      <c r="HV38" s="23"/>
      <c r="HW38" s="23"/>
      <c r="HX38" s="23"/>
      <c r="HY38" s="23"/>
      <c r="HZ38" s="23"/>
      <c r="IA38" s="23"/>
      <c r="IB38" s="23"/>
      <c r="IC38" s="23"/>
      <c r="ID38" s="23"/>
      <c r="IE38" s="23"/>
      <c r="IF38" s="23"/>
      <c r="IG38" s="23"/>
      <c r="IH38" s="23"/>
      <c r="II38" s="30"/>
      <c r="IJ38" s="93"/>
      <c r="IK38" s="93"/>
      <c r="IL38" s="93"/>
      <c r="IM38" s="23"/>
      <c r="IN38" s="23"/>
      <c r="IO38" s="23"/>
    </row>
    <row r="39" spans="2:249" ht="18" customHeight="1" x14ac:dyDescent="0.25">
      <c r="B39" s="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9"/>
      <c r="AR39" s="7"/>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9"/>
      <c r="DY39" s="1"/>
      <c r="DZ39" s="1"/>
      <c r="EA39" s="1"/>
      <c r="ED39" s="1"/>
      <c r="EE39" s="1"/>
      <c r="EF39" s="1"/>
      <c r="EG39" s="1"/>
      <c r="EH39" s="1"/>
      <c r="EI39" s="1"/>
      <c r="EJ39" s="1"/>
      <c r="EK39" s="1"/>
      <c r="EL39" s="1"/>
      <c r="EM39" s="1"/>
      <c r="EN39" s="1"/>
      <c r="EO39" s="1"/>
      <c r="EP39" s="1"/>
      <c r="EQ39" s="1"/>
      <c r="ER39" s="1"/>
    </row>
    <row r="40" spans="2:249" ht="18" customHeight="1" x14ac:dyDescent="0.25">
      <c r="B40" s="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9"/>
      <c r="AR40" s="7"/>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9"/>
      <c r="DY40" s="1"/>
      <c r="DZ40" s="1"/>
      <c r="EA40" s="1"/>
      <c r="ED40" s="1"/>
      <c r="EE40" s="1"/>
      <c r="EF40" s="1"/>
      <c r="EG40" s="1"/>
      <c r="EH40" s="1"/>
      <c r="EI40" s="1"/>
      <c r="EJ40" s="1"/>
      <c r="EK40" s="1"/>
      <c r="EL40" s="1"/>
      <c r="EM40" s="1"/>
      <c r="EN40" s="1"/>
      <c r="EO40" s="1"/>
      <c r="EP40" s="1"/>
      <c r="EQ40" s="1"/>
      <c r="ER40" s="1"/>
      <c r="II40" s="174"/>
      <c r="IJ40" s="174"/>
      <c r="IK40" s="174"/>
      <c r="IL40" s="174"/>
      <c r="IM40" s="174"/>
    </row>
    <row r="41" spans="2:249" ht="18" customHeight="1" x14ac:dyDescent="0.25">
      <c r="B41" s="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9"/>
      <c r="AR41" s="7"/>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9"/>
      <c r="DY41" s="1"/>
      <c r="DZ41" s="1"/>
      <c r="EA41" s="1"/>
      <c r="ED41" s="1"/>
      <c r="EE41" s="1"/>
      <c r="EF41" s="1"/>
      <c r="EG41" s="1"/>
      <c r="EH41" s="1"/>
      <c r="EI41" s="1"/>
      <c r="EJ41" s="1"/>
      <c r="EK41" s="1"/>
      <c r="EL41" s="1"/>
      <c r="EM41" s="1"/>
      <c r="EN41" s="1"/>
      <c r="EO41" s="1"/>
      <c r="EP41" s="1"/>
      <c r="EQ41" s="1"/>
      <c r="ER41" s="1"/>
      <c r="II41" s="175"/>
      <c r="IJ41" s="175"/>
      <c r="IK41" s="175"/>
      <c r="IL41" s="175"/>
      <c r="IM41" s="175"/>
    </row>
    <row r="42" spans="2:249" ht="18" customHeight="1" x14ac:dyDescent="0.25">
      <c r="B42" s="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9"/>
      <c r="AR42" s="7"/>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9"/>
      <c r="DY42" s="1"/>
      <c r="DZ42" s="1"/>
      <c r="EA42" s="1"/>
      <c r="ED42" s="1"/>
      <c r="EE42" s="1"/>
      <c r="EF42" s="1"/>
      <c r="EG42" s="1"/>
      <c r="EH42" s="1"/>
      <c r="EI42" s="1"/>
      <c r="EJ42" s="1"/>
      <c r="EK42" s="1"/>
      <c r="EL42" s="1"/>
      <c r="EM42" s="1"/>
      <c r="EN42" s="1"/>
      <c r="EO42" s="1"/>
      <c r="EP42" s="1"/>
      <c r="EQ42" s="1"/>
      <c r="ER42" s="1"/>
      <c r="II42" s="173"/>
      <c r="IJ42" s="173"/>
      <c r="IK42" s="173"/>
      <c r="IL42" s="173"/>
      <c r="IM42" s="173"/>
    </row>
    <row r="43" spans="2:249" ht="18" customHeight="1" x14ac:dyDescent="0.25">
      <c r="B43" s="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9"/>
      <c r="AR43" s="7"/>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9"/>
      <c r="DY43" s="1"/>
      <c r="DZ43" s="1"/>
      <c r="EA43" s="1"/>
      <c r="ED43" s="1"/>
      <c r="EE43" s="1"/>
      <c r="EF43" s="1"/>
      <c r="EG43" s="1"/>
      <c r="EH43" s="1"/>
      <c r="EI43" s="1"/>
      <c r="EJ43" s="1"/>
      <c r="EK43" s="1"/>
      <c r="EL43" s="1"/>
      <c r="EM43" s="1"/>
      <c r="EN43" s="1"/>
      <c r="EO43" s="1"/>
      <c r="EP43" s="1"/>
      <c r="EQ43" s="1"/>
      <c r="ER43" s="1"/>
      <c r="II43" s="93"/>
      <c r="IJ43" s="93"/>
      <c r="IK43" s="93"/>
      <c r="IL43" s="93"/>
      <c r="IM43" s="93"/>
    </row>
    <row r="44" spans="2:249" ht="18" customHeight="1" x14ac:dyDescent="0.25">
      <c r="B44" s="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9"/>
      <c r="AR44" s="7"/>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9"/>
      <c r="DY44" s="1"/>
      <c r="DZ44" s="1"/>
      <c r="EA44" s="1"/>
      <c r="ED44" s="1"/>
      <c r="EE44" s="1"/>
      <c r="EF44" s="1"/>
      <c r="EG44" s="1"/>
      <c r="EH44" s="1"/>
      <c r="EI44" s="1"/>
      <c r="EJ44" s="1"/>
      <c r="EK44" s="1"/>
      <c r="EL44" s="1"/>
      <c r="EM44" s="1"/>
      <c r="EN44" s="1"/>
      <c r="EO44" s="1"/>
      <c r="EP44" s="1"/>
      <c r="EQ44" s="1"/>
      <c r="ER44" s="1"/>
      <c r="II44" s="93"/>
      <c r="IJ44" s="93"/>
      <c r="IK44" s="93"/>
      <c r="IL44" s="93"/>
      <c r="IM44" s="93"/>
    </row>
    <row r="45" spans="2:249" ht="18" customHeight="1" x14ac:dyDescent="0.25">
      <c r="B45" s="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9"/>
      <c r="AR45" s="7"/>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9"/>
      <c r="DY45" s="1"/>
      <c r="DZ45" s="1"/>
      <c r="EA45" s="1"/>
      <c r="ED45" s="1"/>
      <c r="EE45" s="1"/>
      <c r="EF45" s="1"/>
      <c r="EG45" s="1"/>
      <c r="EH45" s="1"/>
      <c r="EI45" s="1"/>
      <c r="EJ45" s="1"/>
      <c r="EK45" s="1"/>
      <c r="EL45" s="1"/>
      <c r="EM45" s="1"/>
      <c r="EN45" s="1"/>
      <c r="EO45" s="1"/>
      <c r="EP45" s="1"/>
      <c r="EQ45" s="1"/>
      <c r="ER45" s="1"/>
      <c r="II45" s="93"/>
      <c r="IJ45" s="93"/>
      <c r="IK45" s="93"/>
      <c r="IL45" s="93"/>
      <c r="IM45" s="93"/>
    </row>
    <row r="46" spans="2:249" ht="18" customHeight="1" x14ac:dyDescent="0.25">
      <c r="B46" s="7"/>
      <c r="AP46" s="42"/>
      <c r="AR46" s="7"/>
      <c r="AS46" s="89"/>
      <c r="AT46" s="89"/>
      <c r="AU46" s="89"/>
      <c r="AV46" s="89"/>
      <c r="AW46" s="89"/>
      <c r="AX46" s="89"/>
      <c r="AY46" s="89"/>
      <c r="AZ46" s="89"/>
      <c r="BA46" s="89"/>
      <c r="BB46" s="89"/>
      <c r="BC46" s="89"/>
      <c r="BD46" s="89"/>
      <c r="BE46" s="89"/>
      <c r="BF46" s="89"/>
      <c r="BG46" s="89"/>
      <c r="BH46" s="89"/>
      <c r="BI46" s="89"/>
      <c r="BJ46" s="89"/>
      <c r="BK46" s="89"/>
      <c r="BL46" s="89"/>
      <c r="BM46" s="89"/>
      <c r="BN46" s="89"/>
      <c r="BO46" s="89"/>
      <c r="BP46" s="89"/>
      <c r="BQ46" s="89"/>
      <c r="BR46" s="89"/>
      <c r="BS46" s="89"/>
      <c r="BT46" s="89"/>
      <c r="BU46" s="89"/>
      <c r="BV46" s="89"/>
      <c r="BW46" s="89"/>
      <c r="BX46" s="89"/>
      <c r="BY46" s="89"/>
      <c r="BZ46" s="89"/>
      <c r="CA46" s="89"/>
      <c r="CB46" s="89"/>
      <c r="CC46" s="89"/>
      <c r="CD46" s="89"/>
      <c r="CE46" s="89"/>
      <c r="CF46" s="9"/>
      <c r="DY46" s="1"/>
      <c r="DZ46" s="1"/>
      <c r="EA46" s="1"/>
      <c r="ED46" s="1"/>
      <c r="EE46" s="1"/>
      <c r="EF46" s="1"/>
      <c r="EG46" s="1"/>
      <c r="EH46" s="1"/>
      <c r="EI46" s="1"/>
      <c r="EJ46" s="1"/>
      <c r="EK46" s="1"/>
      <c r="EL46" s="1"/>
      <c r="EM46" s="1"/>
      <c r="EN46" s="1"/>
      <c r="EO46" s="1"/>
      <c r="EP46" s="1"/>
      <c r="EQ46" s="1"/>
      <c r="ER46" s="1"/>
      <c r="II46" s="93"/>
      <c r="IJ46" s="93"/>
      <c r="IK46" s="93"/>
      <c r="IL46" s="93"/>
      <c r="IM46" s="93"/>
    </row>
    <row r="47" spans="2:249"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Y47" s="1"/>
      <c r="DZ47" s="1"/>
      <c r="EA47" s="1"/>
      <c r="ED47" s="1"/>
      <c r="EE47" s="1"/>
      <c r="EF47" s="1"/>
      <c r="EG47" s="1"/>
      <c r="EH47" s="1"/>
      <c r="EI47" s="1"/>
      <c r="EJ47" s="1"/>
      <c r="EK47" s="1"/>
      <c r="EL47" s="1"/>
      <c r="EM47" s="1"/>
      <c r="EN47" s="1"/>
      <c r="EO47" s="1"/>
      <c r="EP47" s="1"/>
      <c r="EQ47" s="1"/>
      <c r="ER47" s="1"/>
      <c r="II47" s="93"/>
      <c r="IJ47" s="93"/>
      <c r="IK47" s="93"/>
      <c r="IL47" s="93"/>
      <c r="IM47" s="93"/>
    </row>
    <row r="48" spans="2:249" ht="18" customHeight="1" x14ac:dyDescent="0.25">
      <c r="B48" s="7"/>
      <c r="D48" s="43" t="s">
        <v>86</v>
      </c>
      <c r="AP48" s="9"/>
      <c r="AR48" s="7"/>
      <c r="AT48" s="43" t="s">
        <v>86</v>
      </c>
      <c r="CE48" s="19" t="s">
        <v>87</v>
      </c>
      <c r="CF48" s="9"/>
      <c r="DY48" s="1"/>
      <c r="DZ48" s="1"/>
      <c r="EA48" s="1"/>
      <c r="ED48" s="1"/>
      <c r="EE48" s="1"/>
      <c r="EF48" s="1"/>
      <c r="EG48" s="1"/>
      <c r="EH48" s="1"/>
      <c r="EI48" s="1"/>
      <c r="EJ48" s="1"/>
      <c r="EK48" s="1"/>
      <c r="EL48" s="1"/>
      <c r="EM48" s="1"/>
      <c r="EN48" s="1"/>
      <c r="EO48" s="1"/>
      <c r="EP48" s="1"/>
      <c r="EQ48" s="1"/>
      <c r="ER48" s="1"/>
      <c r="II48" s="93"/>
      <c r="IJ48" s="93"/>
      <c r="IK48" s="93"/>
      <c r="IL48" s="93"/>
      <c r="IM48" s="93"/>
    </row>
    <row r="49" spans="2:247" ht="18" customHeight="1" x14ac:dyDescent="0.25">
      <c r="B49" s="44"/>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5" t="s">
        <v>240</v>
      </c>
      <c r="AF49" s="41"/>
      <c r="AG49" s="41"/>
      <c r="AH49" s="41"/>
      <c r="AI49" s="41"/>
      <c r="AJ49" s="41"/>
      <c r="AK49" s="41"/>
      <c r="AL49" s="41"/>
      <c r="AM49" s="41"/>
      <c r="AN49" s="41"/>
      <c r="AO49" s="41"/>
      <c r="AP49" s="46"/>
      <c r="AR49" s="44"/>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6"/>
      <c r="DY49" s="1"/>
      <c r="DZ49" s="1"/>
      <c r="EA49" s="1"/>
      <c r="ED49" s="1"/>
      <c r="EE49" s="1"/>
      <c r="EF49" s="1"/>
      <c r="EG49" s="1"/>
      <c r="EH49" s="1"/>
      <c r="EI49" s="1"/>
      <c r="EJ49" s="1"/>
      <c r="EK49" s="1"/>
      <c r="EL49" s="1"/>
      <c r="EM49" s="1"/>
      <c r="EN49" s="1"/>
      <c r="EO49" s="1"/>
      <c r="EP49" s="1"/>
      <c r="EQ49" s="1"/>
      <c r="ER49" s="1"/>
      <c r="II49" s="93"/>
      <c r="IJ49" s="93"/>
      <c r="IK49" s="93"/>
      <c r="IL49" s="93"/>
      <c r="IM49" s="93"/>
    </row>
    <row r="50" spans="2:247" ht="18" customHeight="1" x14ac:dyDescent="0.25">
      <c r="DY50" s="1"/>
      <c r="DZ50" s="1"/>
      <c r="EA50" s="1"/>
      <c r="ED50" s="1"/>
      <c r="EE50" s="1"/>
      <c r="EF50" s="1"/>
      <c r="EG50" s="1"/>
      <c r="EH50" s="1"/>
      <c r="EI50" s="1"/>
      <c r="EJ50" s="1"/>
      <c r="EK50" s="1"/>
      <c r="EL50" s="1"/>
      <c r="EM50" s="1"/>
      <c r="EN50" s="1"/>
      <c r="EO50" s="1"/>
      <c r="EP50" s="1"/>
      <c r="EQ50" s="1"/>
      <c r="ER50" s="1"/>
      <c r="II50" s="93"/>
      <c r="IJ50" s="93"/>
      <c r="IK50" s="93"/>
      <c r="IL50" s="93"/>
      <c r="IM50" s="93"/>
    </row>
    <row r="51" spans="2:24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DY51" s="1"/>
      <c r="DZ51" s="1"/>
      <c r="EA51" s="1"/>
      <c r="ED51" s="1"/>
      <c r="EE51" s="1"/>
      <c r="EF51" s="1"/>
      <c r="EG51" s="1"/>
      <c r="EH51" s="1"/>
      <c r="EI51" s="1"/>
      <c r="EJ51" s="1"/>
      <c r="EK51" s="1"/>
      <c r="EL51" s="1"/>
      <c r="EM51" s="1"/>
      <c r="EN51" s="1"/>
      <c r="EO51" s="1"/>
      <c r="EP51" s="1"/>
      <c r="EQ51" s="1"/>
      <c r="ER51" s="1"/>
      <c r="II51" s="93"/>
      <c r="IJ51" s="93"/>
      <c r="IK51" s="93"/>
      <c r="IL51" s="93"/>
      <c r="IM51" s="93"/>
    </row>
    <row r="52" spans="2:247" ht="18" customHeight="1" x14ac:dyDescent="0.25">
      <c r="B52" s="7"/>
      <c r="AN52" s="8"/>
      <c r="AP52" s="9"/>
      <c r="AR52" s="7"/>
      <c r="CD52" s="8"/>
      <c r="CF52" s="9"/>
      <c r="DY52" s="1"/>
      <c r="DZ52" s="1"/>
      <c r="EA52" s="1"/>
      <c r="ED52" s="1"/>
      <c r="EE52" s="1"/>
      <c r="EF52" s="1"/>
      <c r="EG52" s="1"/>
      <c r="EH52" s="1"/>
      <c r="EI52" s="1"/>
      <c r="EJ52" s="1"/>
      <c r="EK52" s="1"/>
      <c r="EL52" s="1"/>
      <c r="EM52" s="1"/>
      <c r="EN52" s="1"/>
      <c r="EO52" s="1"/>
      <c r="EP52" s="1"/>
      <c r="EQ52" s="1"/>
      <c r="ER52" s="1"/>
      <c r="II52" s="93"/>
      <c r="IJ52" s="93"/>
      <c r="IK52" s="93"/>
      <c r="IL52" s="93"/>
      <c r="IM52" s="93"/>
    </row>
    <row r="53" spans="2:247" ht="18" customHeight="1" x14ac:dyDescent="0.25">
      <c r="B53" s="7"/>
      <c r="AN53" s="10"/>
      <c r="AP53" s="9"/>
      <c r="AR53" s="7"/>
      <c r="CD53" s="10"/>
      <c r="CF53" s="9"/>
      <c r="DY53" s="1"/>
      <c r="DZ53" s="1"/>
      <c r="EA53" s="1"/>
      <c r="ED53" s="1"/>
      <c r="EE53" s="1"/>
      <c r="EF53" s="1"/>
      <c r="EG53" s="1"/>
      <c r="EH53" s="1"/>
      <c r="EI53" s="1"/>
      <c r="EJ53" s="1"/>
      <c r="EK53" s="1"/>
      <c r="EL53" s="1"/>
      <c r="EM53" s="1"/>
      <c r="EN53" s="1"/>
      <c r="EO53" s="1"/>
      <c r="EP53" s="1"/>
      <c r="EQ53" s="1"/>
      <c r="ER53" s="1"/>
      <c r="II53" s="93"/>
      <c r="IJ53" s="93"/>
      <c r="IK53" s="93"/>
      <c r="IL53" s="93"/>
      <c r="IM53" s="93"/>
    </row>
    <row r="54" spans="2:247" ht="18" customHeight="1" thickBot="1" x14ac:dyDescent="0.3">
      <c r="B54" s="7"/>
      <c r="C54" s="11">
        <f>C7</f>
        <v>0</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f>C7</f>
        <v>0</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DY54" s="1"/>
      <c r="DZ54" s="1"/>
      <c r="EA54" s="1"/>
      <c r="ED54" s="1"/>
      <c r="EE54" s="1"/>
      <c r="EF54" s="1"/>
      <c r="EG54" s="1"/>
      <c r="EH54" s="1"/>
      <c r="EI54" s="1"/>
      <c r="EJ54" s="1"/>
      <c r="EK54" s="1"/>
      <c r="EL54" s="1"/>
      <c r="EM54" s="1"/>
      <c r="EN54" s="1"/>
      <c r="EO54" s="1"/>
      <c r="EP54" s="1"/>
      <c r="EQ54" s="1"/>
      <c r="ER54" s="1"/>
      <c r="II54" s="93"/>
      <c r="IJ54" s="93"/>
      <c r="IK54" s="93"/>
      <c r="IL54" s="93"/>
      <c r="IM54" s="93"/>
    </row>
    <row r="55" spans="2:247" ht="18" customHeight="1" x14ac:dyDescent="0.25">
      <c r="B55" s="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9"/>
      <c r="AR55" s="7"/>
      <c r="CD55" s="10"/>
      <c r="CF55" s="9"/>
      <c r="DY55" s="1"/>
      <c r="DZ55" s="1"/>
      <c r="EA55" s="1"/>
      <c r="ED55" s="1"/>
      <c r="EE55" s="1"/>
      <c r="EF55" s="1"/>
      <c r="EG55" s="1"/>
      <c r="EH55" s="1"/>
      <c r="EI55" s="1"/>
      <c r="EJ55" s="1"/>
      <c r="EK55" s="1"/>
      <c r="EL55" s="1"/>
      <c r="EM55" s="1"/>
      <c r="EN55" s="1"/>
      <c r="EO55" s="1"/>
      <c r="EP55" s="1"/>
      <c r="EQ55" s="1"/>
      <c r="ER55" s="1"/>
      <c r="II55" s="93"/>
      <c r="IJ55" s="93"/>
      <c r="IK55" s="93"/>
      <c r="IL55" s="93"/>
      <c r="IM55" s="93"/>
    </row>
    <row r="56" spans="2:247" ht="18" customHeight="1" x14ac:dyDescent="0.3">
      <c r="B56" s="7"/>
      <c r="C56" s="28"/>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9"/>
      <c r="AR56" s="7"/>
      <c r="AS56" s="28"/>
      <c r="CF56" s="9"/>
      <c r="DY56" s="1"/>
      <c r="DZ56" s="1"/>
      <c r="EA56" s="1"/>
      <c r="ED56" s="1"/>
      <c r="EE56" s="1"/>
      <c r="EF56" s="1"/>
      <c r="EG56" s="1"/>
      <c r="EH56" s="1"/>
      <c r="EI56" s="1"/>
      <c r="EJ56" s="1"/>
      <c r="EK56" s="1"/>
      <c r="EL56" s="1"/>
      <c r="EM56" s="1"/>
      <c r="EN56" s="1"/>
      <c r="EO56" s="1"/>
      <c r="EP56" s="1"/>
      <c r="EQ56" s="1"/>
      <c r="ER56" s="1"/>
      <c r="II56" s="93"/>
      <c r="IJ56" s="93"/>
      <c r="IK56" s="93"/>
      <c r="IL56" s="93"/>
      <c r="IM56" s="93"/>
    </row>
    <row r="57" spans="2:247" ht="18" customHeight="1" x14ac:dyDescent="0.25">
      <c r="B57" s="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9"/>
      <c r="AR57" s="7"/>
      <c r="CF57" s="9"/>
      <c r="DY57" s="1"/>
      <c r="DZ57" s="1"/>
      <c r="EA57" s="1"/>
      <c r="ED57" s="1"/>
      <c r="EE57" s="1"/>
      <c r="EF57" s="1"/>
      <c r="EG57" s="1"/>
      <c r="EH57" s="1"/>
      <c r="EI57" s="1"/>
      <c r="EJ57" s="1"/>
      <c r="EK57" s="1"/>
      <c r="EL57" s="1"/>
      <c r="EM57" s="1"/>
      <c r="EN57" s="1"/>
      <c r="EO57" s="1"/>
      <c r="EP57" s="1"/>
      <c r="EQ57" s="1"/>
      <c r="ER57" s="1"/>
      <c r="II57" s="172"/>
      <c r="IJ57" s="172"/>
      <c r="IK57" s="172"/>
      <c r="IL57" s="172"/>
      <c r="IM57" s="172"/>
    </row>
    <row r="58" spans="2:247" ht="18" customHeight="1" x14ac:dyDescent="0.25">
      <c r="B58" s="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9"/>
      <c r="AR58" s="7"/>
      <c r="CF58" s="9"/>
      <c r="DY58" s="1"/>
      <c r="DZ58" s="1"/>
      <c r="EA58" s="1"/>
      <c r="ED58" s="1"/>
      <c r="EE58" s="1"/>
      <c r="EF58" s="1"/>
      <c r="EG58" s="1"/>
      <c r="EH58" s="1"/>
      <c r="EI58" s="1"/>
      <c r="EJ58" s="1"/>
      <c r="EK58" s="1"/>
      <c r="EL58" s="1"/>
      <c r="EM58" s="1"/>
      <c r="EN58" s="1"/>
      <c r="EO58" s="1"/>
      <c r="EP58" s="1"/>
      <c r="EQ58" s="1"/>
      <c r="ER58" s="1"/>
      <c r="II58" s="173"/>
      <c r="IJ58" s="173"/>
      <c r="IK58" s="173"/>
      <c r="IL58" s="173"/>
      <c r="IM58" s="173"/>
    </row>
    <row r="59" spans="2:247" ht="18" customHeight="1" x14ac:dyDescent="0.25">
      <c r="B59" s="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9"/>
      <c r="AR59" s="7"/>
      <c r="CF59" s="9"/>
      <c r="DY59" s="1"/>
      <c r="DZ59" s="1"/>
      <c r="EA59" s="1"/>
      <c r="ED59" s="1"/>
      <c r="EE59" s="1"/>
      <c r="EF59" s="1"/>
      <c r="EG59" s="1"/>
      <c r="EH59" s="1"/>
      <c r="EI59" s="1"/>
      <c r="EJ59" s="1"/>
      <c r="EK59" s="1"/>
      <c r="EL59" s="1"/>
      <c r="EM59" s="1"/>
      <c r="EN59" s="1"/>
      <c r="EO59" s="1"/>
      <c r="EP59" s="1"/>
      <c r="EQ59" s="1"/>
      <c r="ER59" s="1"/>
    </row>
    <row r="60" spans="2:247" ht="18" customHeight="1" x14ac:dyDescent="0.25">
      <c r="B60" s="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9"/>
      <c r="AR60" s="7"/>
      <c r="CF60" s="9"/>
      <c r="DY60" s="1"/>
      <c r="DZ60" s="1"/>
      <c r="EA60" s="1"/>
      <c r="ED60" s="1"/>
      <c r="EE60" s="1"/>
      <c r="EF60" s="1"/>
      <c r="EG60" s="1"/>
      <c r="EH60" s="1"/>
      <c r="EI60" s="1"/>
      <c r="EJ60" s="1"/>
      <c r="EK60" s="1"/>
      <c r="EL60" s="1"/>
      <c r="EM60" s="1"/>
      <c r="EN60" s="1"/>
      <c r="EO60" s="1"/>
      <c r="EP60" s="1"/>
      <c r="EQ60" s="1"/>
      <c r="ER60" s="1"/>
      <c r="HL60" s="115"/>
      <c r="HM60" s="115"/>
      <c r="HN60" s="115"/>
      <c r="HO60" s="115"/>
      <c r="HP60" s="115"/>
      <c r="HQ60" s="115"/>
      <c r="HR60" s="115"/>
      <c r="HS60" s="115"/>
      <c r="HT60" s="115"/>
      <c r="HU60" s="115"/>
      <c r="HV60" s="115"/>
      <c r="HW60" s="115"/>
      <c r="HX60" s="115"/>
      <c r="HY60" s="115"/>
      <c r="HZ60" s="116"/>
      <c r="IA60" s="116"/>
      <c r="IB60" s="116"/>
      <c r="IC60" s="116"/>
    </row>
    <row r="61" spans="2:247" ht="18" customHeight="1" x14ac:dyDescent="0.25">
      <c r="B61" s="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9"/>
      <c r="AR61" s="7"/>
      <c r="CF61" s="9"/>
      <c r="DY61" s="1"/>
      <c r="DZ61" s="1"/>
      <c r="EA61" s="1"/>
      <c r="ED61" s="1"/>
      <c r="EE61" s="1"/>
      <c r="EF61" s="1"/>
      <c r="EG61" s="1"/>
      <c r="EH61" s="1"/>
      <c r="EI61" s="1"/>
      <c r="EJ61" s="1"/>
      <c r="EK61" s="1"/>
      <c r="EL61" s="1"/>
      <c r="EM61" s="1"/>
      <c r="EN61" s="1"/>
      <c r="EO61" s="1"/>
      <c r="EP61" s="1"/>
      <c r="EQ61" s="1"/>
      <c r="ER61" s="1"/>
    </row>
    <row r="62" spans="2:247" ht="18" customHeight="1" x14ac:dyDescent="0.25">
      <c r="B62" s="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9"/>
      <c r="AR62" s="7"/>
      <c r="CF62" s="9"/>
      <c r="DY62" s="1"/>
      <c r="DZ62" s="1"/>
      <c r="EA62" s="1"/>
      <c r="ED62" s="1"/>
      <c r="EE62" s="1"/>
      <c r="EF62" s="1"/>
      <c r="EG62" s="1"/>
      <c r="EH62" s="1"/>
      <c r="EI62" s="1"/>
      <c r="EJ62" s="1"/>
      <c r="EK62" s="1"/>
      <c r="EL62" s="1"/>
      <c r="EM62" s="1"/>
      <c r="EN62" s="1"/>
      <c r="EO62" s="1"/>
      <c r="EP62" s="1"/>
      <c r="EQ62" s="1"/>
      <c r="ER62" s="1"/>
    </row>
    <row r="63" spans="2:247" ht="18" customHeight="1" x14ac:dyDescent="0.25">
      <c r="B63" s="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9"/>
      <c r="AR63" s="7"/>
      <c r="CF63" s="9"/>
      <c r="DY63" s="1"/>
      <c r="DZ63" s="1"/>
      <c r="EA63" s="1"/>
      <c r="ED63" s="1"/>
      <c r="EE63" s="1"/>
      <c r="EF63" s="1"/>
      <c r="EG63" s="1"/>
      <c r="EH63" s="1"/>
      <c r="EI63" s="1"/>
      <c r="EJ63" s="1"/>
      <c r="EK63" s="1"/>
      <c r="EL63" s="1"/>
      <c r="EM63" s="1"/>
      <c r="EN63" s="1"/>
      <c r="EO63" s="1"/>
      <c r="EP63" s="1"/>
      <c r="EQ63" s="1"/>
      <c r="ER63" s="1"/>
    </row>
    <row r="64" spans="2:247" ht="18" customHeight="1" x14ac:dyDescent="0.3">
      <c r="B64" s="7"/>
      <c r="C64" s="28"/>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9"/>
      <c r="AR64" s="7"/>
      <c r="CF64" s="9"/>
      <c r="DY64" s="1"/>
      <c r="DZ64" s="1"/>
      <c r="EA64" s="1"/>
      <c r="ED64" s="1"/>
      <c r="EE64" s="1"/>
      <c r="EF64" s="1"/>
      <c r="EG64" s="1"/>
      <c r="EH64" s="1"/>
      <c r="EI64" s="1"/>
      <c r="EJ64" s="1"/>
      <c r="EK64" s="1"/>
      <c r="EL64" s="1"/>
      <c r="EM64" s="1"/>
      <c r="EN64" s="1"/>
      <c r="EO64" s="1"/>
      <c r="EP64" s="1"/>
      <c r="EQ64" s="1"/>
      <c r="ER64" s="1"/>
    </row>
    <row r="65" spans="2:148" ht="18" customHeight="1" x14ac:dyDescent="0.25">
      <c r="B65" s="7"/>
      <c r="AP65" s="9"/>
      <c r="AR65" s="7"/>
      <c r="CF65" s="9"/>
      <c r="DY65" s="1"/>
      <c r="DZ65" s="1"/>
      <c r="EA65" s="1"/>
      <c r="ED65" s="1"/>
      <c r="EE65" s="1"/>
      <c r="EF65" s="1"/>
      <c r="EG65" s="1"/>
      <c r="EH65" s="1"/>
      <c r="EI65" s="1"/>
      <c r="EJ65" s="1"/>
      <c r="EK65" s="1"/>
      <c r="EL65" s="1"/>
      <c r="EM65" s="1"/>
      <c r="EN65" s="1"/>
      <c r="EO65" s="1"/>
      <c r="EP65" s="1"/>
      <c r="EQ65" s="1"/>
      <c r="ER65" s="1"/>
    </row>
    <row r="66" spans="2:148" ht="18" customHeight="1" x14ac:dyDescent="0.25">
      <c r="B66" s="7"/>
      <c r="AP66" s="9"/>
      <c r="AR66" s="7"/>
      <c r="CF66" s="9"/>
      <c r="DY66" s="1"/>
      <c r="DZ66" s="1"/>
      <c r="EA66" s="1"/>
      <c r="ED66" s="1"/>
      <c r="EE66" s="1"/>
      <c r="EF66" s="1"/>
      <c r="EG66" s="1"/>
      <c r="EH66" s="1"/>
      <c r="EI66" s="1"/>
      <c r="EJ66" s="1"/>
      <c r="EK66" s="1"/>
      <c r="EL66" s="1"/>
      <c r="EM66" s="1"/>
      <c r="EN66" s="1"/>
      <c r="EO66" s="1"/>
      <c r="EP66" s="1"/>
      <c r="EQ66" s="1"/>
      <c r="ER66" s="1"/>
    </row>
    <row r="67" spans="2:148" ht="18" customHeight="1" x14ac:dyDescent="0.25">
      <c r="B67" s="7"/>
      <c r="AP67" s="9"/>
      <c r="AR67" s="7"/>
      <c r="CF67" s="9"/>
      <c r="DY67" s="1"/>
      <c r="DZ67" s="1"/>
      <c r="EA67" s="1"/>
      <c r="ED67" s="1"/>
      <c r="EE67" s="1"/>
      <c r="EF67" s="1"/>
      <c r="EG67" s="1"/>
      <c r="EH67" s="1"/>
      <c r="EI67" s="1"/>
      <c r="EJ67" s="1"/>
      <c r="EK67" s="1"/>
      <c r="EL67" s="1"/>
      <c r="EM67" s="1"/>
      <c r="EN67" s="1"/>
      <c r="EO67" s="1"/>
      <c r="EP67" s="1"/>
      <c r="EQ67" s="1"/>
      <c r="ER67" s="1"/>
    </row>
    <row r="68" spans="2:148" ht="18" customHeight="1" x14ac:dyDescent="0.25">
      <c r="B68" s="7"/>
      <c r="AP68" s="9"/>
      <c r="AR68" s="7"/>
      <c r="CF68" s="9"/>
      <c r="DY68" s="1"/>
      <c r="DZ68" s="1"/>
      <c r="EA68" s="1"/>
      <c r="ED68" s="1"/>
      <c r="EE68" s="1"/>
      <c r="EF68" s="1"/>
      <c r="EG68" s="1"/>
      <c r="EH68" s="1"/>
      <c r="EI68" s="1"/>
      <c r="EJ68" s="1"/>
      <c r="EK68" s="1"/>
      <c r="EL68" s="1"/>
      <c r="EM68" s="1"/>
      <c r="EN68" s="1"/>
      <c r="EO68" s="1"/>
      <c r="EP68" s="1"/>
      <c r="EQ68" s="1"/>
      <c r="ER68" s="1"/>
    </row>
    <row r="69" spans="2:148" ht="18" customHeight="1" x14ac:dyDescent="0.25">
      <c r="B69" s="7"/>
      <c r="AP69" s="9"/>
      <c r="AR69" s="7"/>
      <c r="CF69" s="9"/>
      <c r="DY69" s="1"/>
      <c r="DZ69" s="1"/>
      <c r="EA69" s="1"/>
      <c r="ED69" s="1"/>
      <c r="EE69" s="1"/>
      <c r="EF69" s="1"/>
      <c r="EG69" s="1"/>
      <c r="EH69" s="1"/>
      <c r="EI69" s="1"/>
      <c r="EJ69" s="1"/>
      <c r="EK69" s="1"/>
      <c r="EL69" s="1"/>
      <c r="EM69" s="1"/>
      <c r="EN69" s="1"/>
      <c r="EO69" s="1"/>
      <c r="EP69" s="1"/>
      <c r="EQ69" s="1"/>
      <c r="ER69" s="1"/>
    </row>
    <row r="70" spans="2:148" ht="18" customHeight="1" x14ac:dyDescent="0.25">
      <c r="B70" s="7"/>
      <c r="AP70" s="9"/>
      <c r="AR70" s="7"/>
      <c r="CF70" s="9"/>
      <c r="DY70" s="1"/>
      <c r="DZ70" s="1"/>
      <c r="EA70" s="1"/>
      <c r="ED70" s="1"/>
      <c r="EE70" s="1"/>
      <c r="EF70" s="1"/>
      <c r="EG70" s="1"/>
      <c r="EH70" s="1"/>
      <c r="EI70" s="1"/>
      <c r="EJ70" s="1"/>
      <c r="EK70" s="1"/>
      <c r="EL70" s="1"/>
      <c r="EM70" s="1"/>
      <c r="EN70" s="1"/>
      <c r="EO70" s="1"/>
      <c r="EP70" s="1"/>
      <c r="EQ70" s="1"/>
      <c r="ER70" s="1"/>
    </row>
    <row r="71" spans="2:148" ht="18" customHeight="1" x14ac:dyDescent="0.25">
      <c r="B71" s="7"/>
      <c r="AP71" s="9"/>
      <c r="AR71" s="7"/>
      <c r="CF71" s="9"/>
      <c r="DY71" s="1"/>
      <c r="DZ71" s="1"/>
      <c r="EA71" s="1"/>
      <c r="ED71" s="1"/>
      <c r="EE71" s="1"/>
      <c r="EF71" s="1"/>
      <c r="EG71" s="1"/>
      <c r="EH71" s="1"/>
      <c r="EI71" s="1"/>
      <c r="EJ71" s="1"/>
      <c r="EK71" s="1"/>
      <c r="EL71" s="1"/>
      <c r="EM71" s="1"/>
      <c r="EN71" s="1"/>
      <c r="EO71" s="1"/>
      <c r="EP71" s="1"/>
      <c r="EQ71" s="1"/>
      <c r="ER71" s="1"/>
    </row>
    <row r="72" spans="2:148" ht="18" customHeight="1" x14ac:dyDescent="0.3">
      <c r="B72" s="7"/>
      <c r="C72" s="28"/>
      <c r="AP72" s="9"/>
      <c r="AR72" s="7"/>
      <c r="CF72" s="9"/>
      <c r="DY72" s="1"/>
      <c r="DZ72" s="1"/>
      <c r="EA72" s="1"/>
      <c r="ED72" s="1"/>
      <c r="EE72" s="1"/>
      <c r="EF72" s="1"/>
      <c r="EG72" s="1"/>
      <c r="EH72" s="1"/>
      <c r="EI72" s="1"/>
      <c r="EJ72" s="1"/>
      <c r="EK72" s="1"/>
      <c r="EL72" s="1"/>
      <c r="EM72" s="1"/>
      <c r="EN72" s="1"/>
      <c r="EO72" s="1"/>
      <c r="EP72" s="1"/>
      <c r="EQ72" s="1"/>
      <c r="ER72" s="1"/>
    </row>
    <row r="73" spans="2:148" ht="18" customHeight="1" x14ac:dyDescent="0.25">
      <c r="B73" s="7"/>
      <c r="AP73" s="9"/>
      <c r="AR73" s="7"/>
      <c r="CF73" s="9"/>
      <c r="DY73" s="1"/>
      <c r="DZ73" s="1"/>
      <c r="EA73" s="1"/>
      <c r="ED73" s="1"/>
      <c r="EE73" s="1"/>
      <c r="EF73" s="1"/>
      <c r="EG73" s="1"/>
      <c r="EH73" s="1"/>
      <c r="EI73" s="1"/>
      <c r="EJ73" s="1"/>
      <c r="EK73" s="1"/>
      <c r="EL73" s="1"/>
      <c r="EM73" s="1"/>
      <c r="EN73" s="1"/>
      <c r="EO73" s="1"/>
      <c r="EP73" s="1"/>
      <c r="EQ73" s="1"/>
      <c r="ER73" s="1"/>
    </row>
    <row r="74" spans="2:148" ht="18" customHeight="1" x14ac:dyDescent="0.25">
      <c r="B74" s="7"/>
      <c r="AP74" s="9"/>
      <c r="AR74" s="7"/>
      <c r="CF74" s="9"/>
      <c r="DY74" s="1"/>
      <c r="DZ74" s="1"/>
      <c r="EA74" s="1"/>
      <c r="ED74" s="1"/>
      <c r="EE74" s="1"/>
      <c r="EF74" s="1"/>
      <c r="EG74" s="1"/>
      <c r="EH74" s="1"/>
      <c r="EI74" s="1"/>
      <c r="EJ74" s="1"/>
      <c r="EK74" s="1"/>
      <c r="EL74" s="1"/>
      <c r="EM74" s="1"/>
      <c r="EN74" s="1"/>
      <c r="EO74" s="1"/>
      <c r="EP74" s="1"/>
      <c r="EQ74" s="1"/>
      <c r="ER74" s="1"/>
    </row>
    <row r="75" spans="2:148" ht="18" customHeight="1" x14ac:dyDescent="0.25">
      <c r="B75" s="7"/>
      <c r="AP75" s="9"/>
      <c r="AR75" s="7"/>
      <c r="CF75" s="9"/>
      <c r="DY75" s="1"/>
      <c r="DZ75" s="1"/>
      <c r="EA75" s="1"/>
      <c r="ED75" s="1"/>
      <c r="EE75" s="1"/>
      <c r="EF75" s="1"/>
      <c r="EG75" s="1"/>
      <c r="EH75" s="1"/>
      <c r="EI75" s="1"/>
      <c r="EJ75" s="1"/>
      <c r="EK75" s="1"/>
      <c r="EL75" s="1"/>
      <c r="EM75" s="1"/>
      <c r="EN75" s="1"/>
      <c r="EO75" s="1"/>
      <c r="EP75" s="1"/>
      <c r="EQ75" s="1"/>
      <c r="ER75" s="1"/>
    </row>
    <row r="76" spans="2:148" ht="18" customHeight="1" x14ac:dyDescent="0.25">
      <c r="B76" s="7"/>
      <c r="AP76" s="9"/>
      <c r="AR76" s="7"/>
      <c r="CF76" s="9"/>
      <c r="DY76" s="1"/>
      <c r="DZ76" s="1"/>
      <c r="EA76" s="1"/>
      <c r="ED76" s="1"/>
      <c r="EE76" s="1"/>
      <c r="EF76" s="1"/>
      <c r="EG76" s="1"/>
      <c r="EH76" s="1"/>
      <c r="EI76" s="1"/>
      <c r="EJ76" s="1"/>
      <c r="EK76" s="1"/>
      <c r="EL76" s="1"/>
      <c r="EM76" s="1"/>
      <c r="EN76" s="1"/>
      <c r="EO76" s="1"/>
      <c r="EP76" s="1"/>
      <c r="EQ76" s="1"/>
      <c r="ER76" s="1"/>
    </row>
    <row r="77" spans="2:148" ht="18" customHeight="1" x14ac:dyDescent="0.25">
      <c r="B77" s="7"/>
      <c r="AP77" s="9"/>
      <c r="AR77" s="7"/>
      <c r="CF77" s="9"/>
      <c r="DY77" s="1"/>
      <c r="DZ77" s="1"/>
      <c r="EA77" s="1"/>
      <c r="ED77" s="1"/>
      <c r="EE77" s="1"/>
      <c r="EF77" s="1"/>
      <c r="EG77" s="1"/>
      <c r="EH77" s="1"/>
      <c r="EI77" s="1"/>
      <c r="EJ77" s="1"/>
      <c r="EK77" s="1"/>
      <c r="EL77" s="1"/>
      <c r="EM77" s="1"/>
      <c r="EN77" s="1"/>
      <c r="EO77" s="1"/>
      <c r="EP77" s="1"/>
      <c r="EQ77" s="1"/>
      <c r="ER77" s="1"/>
    </row>
    <row r="78" spans="2:148" ht="18" customHeight="1" x14ac:dyDescent="0.25">
      <c r="B78" s="7"/>
      <c r="AP78" s="9"/>
      <c r="AR78" s="7"/>
      <c r="CF78" s="9"/>
      <c r="DY78" s="1"/>
      <c r="DZ78" s="1"/>
      <c r="EA78" s="1"/>
      <c r="ED78" s="1"/>
      <c r="EE78" s="1"/>
      <c r="EF78" s="1"/>
      <c r="EG78" s="1"/>
      <c r="EH78" s="1"/>
      <c r="EI78" s="1"/>
      <c r="EJ78" s="1"/>
      <c r="EK78" s="1"/>
      <c r="EL78" s="1"/>
      <c r="EM78" s="1"/>
      <c r="EN78" s="1"/>
      <c r="EO78" s="1"/>
      <c r="EP78" s="1"/>
      <c r="EQ78" s="1"/>
      <c r="ER78" s="1"/>
    </row>
    <row r="79" spans="2:148" ht="18" customHeight="1" x14ac:dyDescent="0.25">
      <c r="B79" s="7"/>
      <c r="AP79" s="9"/>
      <c r="AR79" s="7"/>
      <c r="CF79" s="9"/>
      <c r="DY79" s="1"/>
      <c r="DZ79" s="1"/>
      <c r="EA79" s="1"/>
      <c r="ED79" s="1"/>
      <c r="EE79" s="1"/>
      <c r="EF79" s="1"/>
      <c r="EG79" s="1"/>
      <c r="EH79" s="1"/>
      <c r="EI79" s="1"/>
      <c r="EJ79" s="1"/>
      <c r="EK79" s="1"/>
      <c r="EL79" s="1"/>
      <c r="EM79" s="1"/>
      <c r="EN79" s="1"/>
      <c r="EO79" s="1"/>
      <c r="EP79" s="1"/>
      <c r="EQ79" s="1"/>
      <c r="ER79" s="1"/>
    </row>
    <row r="80" spans="2:148" ht="18" customHeight="1" x14ac:dyDescent="0.25">
      <c r="B80" s="7"/>
      <c r="AP80" s="9"/>
      <c r="AR80" s="7"/>
      <c r="CF80" s="9"/>
      <c r="DY80" s="1"/>
      <c r="DZ80" s="1"/>
      <c r="EA80" s="1"/>
      <c r="ED80" s="1"/>
      <c r="EE80" s="1"/>
      <c r="EF80" s="1"/>
      <c r="EG80" s="1"/>
      <c r="EH80" s="1"/>
      <c r="EI80" s="1"/>
      <c r="EJ80" s="1"/>
      <c r="EK80" s="1"/>
      <c r="EL80" s="1"/>
      <c r="EM80" s="1"/>
      <c r="EN80" s="1"/>
      <c r="EO80" s="1"/>
      <c r="EP80" s="1"/>
      <c r="EQ80" s="1"/>
      <c r="ER80" s="1"/>
    </row>
    <row r="81" spans="2:148" ht="18" customHeight="1" x14ac:dyDescent="0.3">
      <c r="B81" s="7"/>
      <c r="C81" s="28"/>
      <c r="AP81" s="9"/>
      <c r="AR81" s="7"/>
      <c r="CF81" s="9"/>
      <c r="DY81" s="1"/>
      <c r="DZ81" s="1"/>
      <c r="EA81" s="1"/>
      <c r="ED81" s="1"/>
      <c r="EE81" s="1"/>
      <c r="EF81" s="1"/>
      <c r="EG81" s="1"/>
      <c r="EH81" s="1"/>
      <c r="EI81" s="1"/>
      <c r="EJ81" s="1"/>
      <c r="EK81" s="1"/>
      <c r="EL81" s="1"/>
      <c r="EM81" s="1"/>
      <c r="EN81" s="1"/>
      <c r="EO81" s="1"/>
      <c r="EP81" s="1"/>
      <c r="EQ81" s="1"/>
      <c r="ER81" s="1"/>
    </row>
    <row r="82" spans="2:148" ht="18" customHeight="1" x14ac:dyDescent="0.25">
      <c r="B82" s="7"/>
      <c r="AP82" s="9"/>
      <c r="AR82" s="7"/>
      <c r="CF82" s="9"/>
      <c r="DY82" s="1"/>
      <c r="DZ82" s="1"/>
      <c r="EA82" s="1"/>
      <c r="ED82" s="1"/>
      <c r="EE82" s="1"/>
      <c r="EF82" s="1"/>
      <c r="EG82" s="1"/>
      <c r="EH82" s="1"/>
      <c r="EI82" s="1"/>
      <c r="EJ82" s="1"/>
      <c r="EK82" s="1"/>
      <c r="EL82" s="1"/>
      <c r="EM82" s="1"/>
      <c r="EN82" s="1"/>
      <c r="EO82" s="1"/>
      <c r="EP82" s="1"/>
      <c r="EQ82" s="1"/>
      <c r="ER82" s="1"/>
    </row>
    <row r="83" spans="2:148" ht="18" customHeight="1" x14ac:dyDescent="0.25">
      <c r="B83" s="7"/>
      <c r="AP83" s="9"/>
      <c r="AR83" s="7"/>
      <c r="CF83" s="9"/>
      <c r="DY83" s="1"/>
      <c r="DZ83" s="1"/>
      <c r="EA83" s="1"/>
      <c r="ED83" s="1"/>
      <c r="EE83" s="1"/>
      <c r="EF83" s="1"/>
      <c r="EG83" s="1"/>
      <c r="EH83" s="1"/>
      <c r="EI83" s="1"/>
      <c r="EJ83" s="1"/>
      <c r="EK83" s="1"/>
      <c r="EL83" s="1"/>
      <c r="EM83" s="1"/>
      <c r="EN83" s="1"/>
      <c r="EO83" s="1"/>
      <c r="EP83" s="1"/>
      <c r="EQ83" s="1"/>
      <c r="ER83" s="1"/>
    </row>
    <row r="84" spans="2:148" ht="18" customHeight="1" x14ac:dyDescent="0.25">
      <c r="B84" s="7"/>
      <c r="AP84" s="9"/>
      <c r="AR84" s="7"/>
      <c r="CF84" s="9"/>
      <c r="DY84" s="1"/>
      <c r="DZ84" s="1"/>
      <c r="EA84" s="1"/>
      <c r="ED84" s="1"/>
      <c r="EE84" s="1"/>
      <c r="EF84" s="1"/>
      <c r="EG84" s="1"/>
      <c r="EH84" s="1"/>
      <c r="EI84" s="1"/>
      <c r="EJ84" s="1"/>
      <c r="EK84" s="1"/>
      <c r="EL84" s="1"/>
      <c r="EM84" s="1"/>
      <c r="EN84" s="1"/>
      <c r="EO84" s="1"/>
      <c r="EP84" s="1"/>
      <c r="EQ84" s="1"/>
      <c r="ER84" s="1"/>
    </row>
    <row r="85" spans="2:148" ht="18" customHeight="1" x14ac:dyDescent="0.25">
      <c r="B85" s="7"/>
      <c r="AP85" s="9"/>
      <c r="AR85" s="7"/>
      <c r="CF85" s="9"/>
      <c r="DY85" s="1"/>
      <c r="DZ85" s="1"/>
      <c r="EA85" s="1"/>
      <c r="ED85" s="1"/>
      <c r="EE85" s="1"/>
      <c r="EF85" s="1"/>
      <c r="EG85" s="1"/>
      <c r="EH85" s="1"/>
      <c r="EI85" s="1"/>
      <c r="EJ85" s="1"/>
      <c r="EK85" s="1"/>
      <c r="EL85" s="1"/>
      <c r="EM85" s="1"/>
      <c r="EN85" s="1"/>
      <c r="EO85" s="1"/>
      <c r="EP85" s="1"/>
      <c r="EQ85" s="1"/>
      <c r="ER85" s="1"/>
    </row>
    <row r="86" spans="2:148" ht="18" customHeight="1" x14ac:dyDescent="0.25">
      <c r="B86" s="7"/>
      <c r="AP86" s="9"/>
      <c r="AR86" s="7"/>
      <c r="CF86" s="9"/>
      <c r="DY86" s="1"/>
      <c r="DZ86" s="1"/>
      <c r="EA86" s="1"/>
      <c r="ED86" s="1"/>
      <c r="EE86" s="1"/>
      <c r="EF86" s="1"/>
      <c r="EG86" s="1"/>
      <c r="EH86" s="1"/>
      <c r="EI86" s="1"/>
      <c r="EJ86" s="1"/>
      <c r="EK86" s="1"/>
      <c r="EL86" s="1"/>
      <c r="EM86" s="1"/>
      <c r="EN86" s="1"/>
      <c r="EO86" s="1"/>
      <c r="EP86" s="1"/>
      <c r="EQ86" s="1"/>
      <c r="ER86" s="1"/>
    </row>
    <row r="87" spans="2:148" ht="18" customHeight="1" x14ac:dyDescent="0.25">
      <c r="B87" s="7"/>
      <c r="AP87" s="9"/>
      <c r="AR87" s="7"/>
      <c r="CF87" s="9"/>
      <c r="DY87" s="1"/>
      <c r="DZ87" s="1"/>
      <c r="EA87" s="1"/>
      <c r="ED87" s="1"/>
      <c r="EE87" s="1"/>
      <c r="EF87" s="1"/>
      <c r="EG87" s="1"/>
      <c r="EH87" s="1"/>
      <c r="EI87" s="1"/>
      <c r="EJ87" s="1"/>
      <c r="EK87" s="1"/>
      <c r="EL87" s="1"/>
      <c r="EM87" s="1"/>
      <c r="EN87" s="1"/>
      <c r="EO87" s="1"/>
      <c r="EP87" s="1"/>
      <c r="EQ87" s="1"/>
      <c r="ER87" s="1"/>
    </row>
    <row r="88" spans="2:148" ht="18" customHeight="1" x14ac:dyDescent="0.25">
      <c r="B88" s="7"/>
      <c r="AP88" s="9"/>
      <c r="AR88" s="7"/>
      <c r="CF88" s="9"/>
      <c r="DY88" s="1"/>
      <c r="DZ88" s="1"/>
      <c r="EA88" s="1"/>
      <c r="ED88" s="1"/>
      <c r="EE88" s="1"/>
      <c r="EF88" s="1"/>
      <c r="EG88" s="1"/>
      <c r="EH88" s="1"/>
      <c r="EI88" s="1"/>
      <c r="EJ88" s="1"/>
      <c r="EK88" s="1"/>
      <c r="EL88" s="1"/>
      <c r="EM88" s="1"/>
      <c r="EN88" s="1"/>
      <c r="EO88" s="1"/>
      <c r="EP88" s="1"/>
      <c r="EQ88" s="1"/>
      <c r="ER88" s="1"/>
    </row>
    <row r="89" spans="2:148" ht="18" customHeight="1" x14ac:dyDescent="0.25">
      <c r="B89" s="7"/>
      <c r="AP89" s="9"/>
      <c r="AR89" s="7"/>
      <c r="CF89" s="9"/>
      <c r="DY89" s="1"/>
      <c r="DZ89" s="1"/>
      <c r="EA89" s="1"/>
      <c r="ED89" s="1"/>
      <c r="EE89" s="1"/>
      <c r="EF89" s="1"/>
      <c r="EG89" s="1"/>
      <c r="EH89" s="1"/>
      <c r="EI89" s="1"/>
      <c r="EJ89" s="1"/>
      <c r="EK89" s="1"/>
      <c r="EL89" s="1"/>
      <c r="EM89" s="1"/>
      <c r="EN89" s="1"/>
      <c r="EO89" s="1"/>
      <c r="EP89" s="1"/>
      <c r="EQ89" s="1"/>
      <c r="ER89" s="1"/>
    </row>
    <row r="90" spans="2:148" ht="18" customHeight="1" x14ac:dyDescent="0.25">
      <c r="B90" s="7"/>
      <c r="AP90" s="9"/>
      <c r="AR90" s="7"/>
      <c r="CF90" s="9"/>
      <c r="DY90" s="1"/>
      <c r="DZ90" s="1"/>
      <c r="EA90" s="1"/>
      <c r="ED90" s="1"/>
      <c r="EE90" s="1"/>
      <c r="EF90" s="1"/>
      <c r="EG90" s="1"/>
      <c r="EH90" s="1"/>
      <c r="EI90" s="1"/>
      <c r="EJ90" s="1"/>
      <c r="EK90" s="1"/>
      <c r="EL90" s="1"/>
      <c r="EM90" s="1"/>
      <c r="EN90" s="1"/>
      <c r="EO90" s="1"/>
      <c r="EP90" s="1"/>
      <c r="EQ90" s="1"/>
      <c r="ER90" s="1"/>
    </row>
    <row r="91" spans="2:148" ht="18" customHeight="1" x14ac:dyDescent="0.25">
      <c r="B91" s="7"/>
      <c r="AP91" s="9"/>
      <c r="AR91" s="7"/>
      <c r="CF91" s="9"/>
      <c r="DY91" s="1"/>
      <c r="DZ91" s="1"/>
      <c r="EA91" s="1"/>
      <c r="ED91" s="1"/>
      <c r="EE91" s="1"/>
      <c r="EF91" s="1"/>
      <c r="EG91" s="1"/>
      <c r="EH91" s="1"/>
      <c r="EI91" s="1"/>
      <c r="EJ91" s="1"/>
      <c r="EK91" s="1"/>
      <c r="EL91" s="1"/>
      <c r="EM91" s="1"/>
      <c r="EN91" s="1"/>
      <c r="EO91" s="1"/>
      <c r="EP91" s="1"/>
      <c r="EQ91" s="1"/>
      <c r="ER91" s="1"/>
    </row>
    <row r="92" spans="2:148" ht="18" customHeight="1" x14ac:dyDescent="0.25">
      <c r="B92" s="7"/>
      <c r="AP92" s="9"/>
      <c r="AR92" s="7"/>
      <c r="CF92" s="9"/>
      <c r="DY92" s="1"/>
      <c r="DZ92" s="1"/>
      <c r="EA92" s="1"/>
      <c r="ED92" s="1"/>
      <c r="EE92" s="1"/>
      <c r="EF92" s="1"/>
      <c r="EG92" s="1"/>
      <c r="EH92" s="1"/>
      <c r="EI92" s="1"/>
      <c r="EJ92" s="1"/>
      <c r="EK92" s="1"/>
      <c r="EL92" s="1"/>
      <c r="EM92" s="1"/>
      <c r="EN92" s="1"/>
      <c r="EO92" s="1"/>
      <c r="EP92" s="1"/>
      <c r="EQ92" s="1"/>
      <c r="ER92" s="1"/>
    </row>
    <row r="93" spans="2:148" ht="18" customHeight="1" x14ac:dyDescent="0.25">
      <c r="B93" s="7"/>
      <c r="AP93" s="9"/>
      <c r="AR93" s="7"/>
      <c r="CF93" s="9"/>
      <c r="DY93" s="1"/>
      <c r="DZ93" s="1"/>
      <c r="EA93" s="1"/>
      <c r="ED93" s="1"/>
      <c r="EE93" s="1"/>
      <c r="EF93" s="1"/>
      <c r="EG93" s="1"/>
      <c r="EH93" s="1"/>
      <c r="EI93" s="1"/>
      <c r="EJ93" s="1"/>
      <c r="EK93" s="1"/>
      <c r="EL93" s="1"/>
      <c r="EM93" s="1"/>
      <c r="EN93" s="1"/>
      <c r="EO93" s="1"/>
      <c r="EP93" s="1"/>
      <c r="EQ93" s="1"/>
      <c r="ER93" s="1"/>
    </row>
    <row r="94" spans="2:148" ht="18" customHeight="1" x14ac:dyDescent="0.25">
      <c r="B94" s="7"/>
      <c r="AP94" s="9"/>
      <c r="AR94" s="7"/>
      <c r="CF94" s="9"/>
      <c r="DY94" s="1"/>
      <c r="DZ94" s="1"/>
      <c r="EA94" s="1"/>
      <c r="ED94" s="1"/>
      <c r="EE94" s="1"/>
      <c r="EF94" s="1"/>
      <c r="EG94" s="1"/>
      <c r="EH94" s="1"/>
      <c r="EI94" s="1"/>
      <c r="EJ94" s="1"/>
      <c r="EK94" s="1"/>
      <c r="EL94" s="1"/>
      <c r="EM94" s="1"/>
      <c r="EN94" s="1"/>
      <c r="EO94" s="1"/>
      <c r="EP94" s="1"/>
      <c r="EQ94" s="1"/>
      <c r="ER94" s="1"/>
    </row>
    <row r="95" spans="2:148" ht="18" customHeight="1" x14ac:dyDescent="0.25">
      <c r="B95" s="7"/>
      <c r="AP95" s="9"/>
      <c r="AR95" s="7"/>
      <c r="CF95" s="9"/>
      <c r="DY95" s="1"/>
      <c r="DZ95" s="1"/>
      <c r="EA95" s="1"/>
      <c r="ED95" s="1"/>
      <c r="EE95" s="1"/>
      <c r="EF95" s="1"/>
      <c r="EG95" s="1"/>
      <c r="EH95" s="1"/>
      <c r="EI95" s="1"/>
      <c r="EJ95" s="1"/>
      <c r="EK95" s="1"/>
      <c r="EL95" s="1"/>
      <c r="EM95" s="1"/>
      <c r="EN95" s="1"/>
      <c r="EO95" s="1"/>
      <c r="EP95" s="1"/>
      <c r="EQ95" s="1"/>
      <c r="ER95" s="1"/>
    </row>
    <row r="96" spans="2:148"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c r="DY96" s="1"/>
      <c r="DZ96" s="1"/>
      <c r="EA96" s="1"/>
      <c r="ED96" s="1"/>
      <c r="EE96" s="1"/>
      <c r="EF96" s="1"/>
      <c r="EG96" s="1"/>
      <c r="EH96" s="1"/>
      <c r="EI96" s="1"/>
      <c r="EJ96" s="1"/>
      <c r="EK96" s="1"/>
      <c r="EL96" s="1"/>
      <c r="EM96" s="1"/>
      <c r="EN96" s="1"/>
      <c r="EO96" s="1"/>
      <c r="EP96" s="1"/>
      <c r="EQ96" s="1"/>
      <c r="ER96" s="1"/>
    </row>
    <row r="97" spans="2:148" ht="18" customHeight="1" x14ac:dyDescent="0.25">
      <c r="B97" s="7"/>
      <c r="D97" s="43" t="s">
        <v>86</v>
      </c>
      <c r="AO97" s="19" t="s">
        <v>105</v>
      </c>
      <c r="AP97" s="9"/>
      <c r="AR97" s="7"/>
      <c r="AT97" s="43" t="s">
        <v>86</v>
      </c>
      <c r="CE97" s="19" t="s">
        <v>106</v>
      </c>
      <c r="CF97" s="9"/>
      <c r="DY97" s="1"/>
      <c r="DZ97" s="1"/>
      <c r="EA97" s="1"/>
      <c r="ED97" s="1"/>
      <c r="EE97" s="1"/>
      <c r="EF97" s="1"/>
      <c r="EG97" s="1"/>
      <c r="EH97" s="1"/>
      <c r="EI97" s="1"/>
      <c r="EJ97" s="1"/>
      <c r="EK97" s="1"/>
      <c r="EL97" s="1"/>
      <c r="EM97" s="1"/>
      <c r="EN97" s="1"/>
      <c r="EO97" s="1"/>
      <c r="EP97" s="1"/>
      <c r="EQ97" s="1"/>
      <c r="ER97" s="1"/>
    </row>
    <row r="98" spans="2:148" ht="18" customHeight="1" x14ac:dyDescent="0.25">
      <c r="B98" s="44"/>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6"/>
      <c r="AR98" s="44"/>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6"/>
      <c r="DY98" s="1"/>
      <c r="DZ98" s="1"/>
      <c r="EA98" s="1"/>
      <c r="ED98" s="1"/>
      <c r="EE98" s="1"/>
      <c r="EF98" s="1"/>
      <c r="EG98" s="1"/>
      <c r="EH98" s="1"/>
      <c r="EI98" s="1"/>
      <c r="EJ98" s="1"/>
      <c r="EK98" s="1"/>
      <c r="EL98" s="1"/>
      <c r="EM98" s="1"/>
      <c r="EN98" s="1"/>
      <c r="EO98" s="1"/>
      <c r="EP98" s="1"/>
      <c r="EQ98" s="1"/>
      <c r="ER98" s="1"/>
    </row>
    <row r="99" spans="2:148" ht="18" customHeight="1" x14ac:dyDescent="0.25">
      <c r="DY99" s="1"/>
      <c r="DZ99" s="1"/>
      <c r="EA99" s="1"/>
      <c r="ED99" s="1"/>
      <c r="EE99" s="1"/>
      <c r="EF99" s="1"/>
      <c r="EG99" s="1"/>
      <c r="EH99" s="1"/>
      <c r="EI99" s="1"/>
      <c r="EJ99" s="1"/>
      <c r="EK99" s="1"/>
      <c r="EL99" s="1"/>
      <c r="EM99" s="1"/>
      <c r="EN99" s="1"/>
      <c r="EO99" s="1"/>
      <c r="EP99" s="1"/>
      <c r="EQ99" s="1"/>
      <c r="ER99" s="1"/>
    </row>
    <row r="100" spans="2:148" ht="18" customHeight="1" x14ac:dyDescent="0.25">
      <c r="B100" s="4"/>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6"/>
      <c r="AR100" s="4"/>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6"/>
      <c r="DY100" s="1"/>
      <c r="DZ100" s="1"/>
      <c r="EA100" s="1"/>
      <c r="ED100" s="1"/>
      <c r="EE100" s="1"/>
      <c r="EF100" s="1"/>
      <c r="EG100" s="1"/>
      <c r="EH100" s="1"/>
      <c r="EI100" s="1"/>
      <c r="EJ100" s="1"/>
      <c r="EK100" s="1"/>
      <c r="EL100" s="1"/>
      <c r="EM100" s="1"/>
      <c r="EN100" s="1"/>
      <c r="EO100" s="1"/>
      <c r="EP100" s="1"/>
      <c r="EQ100" s="1"/>
      <c r="ER100" s="1"/>
    </row>
    <row r="101" spans="2:148" ht="18" customHeight="1" x14ac:dyDescent="0.25">
      <c r="B101" s="7"/>
      <c r="AN101" s="8"/>
      <c r="AP101" s="9"/>
      <c r="AR101" s="7"/>
      <c r="CD101" s="8"/>
      <c r="CF101" s="9"/>
      <c r="DY101" s="1"/>
      <c r="DZ101" s="1"/>
      <c r="EA101" s="1"/>
      <c r="ED101" s="1"/>
      <c r="EE101" s="1"/>
      <c r="EF101" s="1"/>
      <c r="EG101" s="1"/>
      <c r="EH101" s="1"/>
      <c r="EI101" s="1"/>
      <c r="EJ101" s="1"/>
      <c r="EK101" s="1"/>
      <c r="EL101" s="1"/>
      <c r="EM101" s="1"/>
      <c r="EN101" s="1"/>
      <c r="EO101" s="1"/>
      <c r="EP101" s="1"/>
      <c r="EQ101" s="1"/>
      <c r="ER101" s="1"/>
    </row>
    <row r="102" spans="2:148" ht="18" customHeight="1" x14ac:dyDescent="0.25">
      <c r="B102" s="7"/>
      <c r="AN102" s="10"/>
      <c r="AP102" s="9"/>
      <c r="AR102" s="7"/>
      <c r="CD102" s="10"/>
      <c r="CF102" s="9"/>
      <c r="DY102" s="1"/>
      <c r="DZ102" s="1"/>
      <c r="EA102" s="1"/>
      <c r="ED102" s="1"/>
      <c r="EE102" s="1"/>
      <c r="EF102" s="1"/>
      <c r="EG102" s="1"/>
      <c r="EH102" s="1"/>
      <c r="EI102" s="1"/>
      <c r="EJ102" s="1"/>
      <c r="EK102" s="1"/>
      <c r="EL102" s="1"/>
      <c r="EM102" s="1"/>
      <c r="EN102" s="1"/>
      <c r="EO102" s="1"/>
      <c r="EP102" s="1"/>
      <c r="EQ102" s="1"/>
      <c r="ER102" s="1"/>
    </row>
    <row r="103" spans="2:148" ht="18" customHeight="1" thickBot="1" x14ac:dyDescent="0.3">
      <c r="B103" s="7"/>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2"/>
      <c r="AO103" s="11"/>
      <c r="AP103" s="9"/>
      <c r="AR103" s="7"/>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2"/>
      <c r="CE103" s="11"/>
      <c r="CF103" s="9"/>
      <c r="DY103" s="1"/>
      <c r="DZ103" s="1"/>
      <c r="EA103" s="1"/>
      <c r="ED103" s="1"/>
      <c r="EE103" s="1"/>
      <c r="EF103" s="1"/>
      <c r="EG103" s="1"/>
      <c r="EH103" s="1"/>
      <c r="EI103" s="1"/>
      <c r="EJ103" s="1"/>
      <c r="EK103" s="1"/>
      <c r="EL103" s="1"/>
      <c r="EM103" s="1"/>
      <c r="EN103" s="1"/>
      <c r="EO103" s="1"/>
      <c r="EP103" s="1"/>
      <c r="EQ103" s="1"/>
      <c r="ER103" s="1"/>
    </row>
    <row r="104" spans="2:148" ht="18" customHeight="1" x14ac:dyDescent="0.25">
      <c r="B104" s="7"/>
      <c r="AP104" s="9"/>
      <c r="AR104" s="7"/>
      <c r="CF104" s="9"/>
      <c r="DY104" s="1"/>
      <c r="DZ104" s="1"/>
      <c r="EA104" s="1"/>
      <c r="ED104" s="1"/>
      <c r="EE104" s="1"/>
      <c r="EF104" s="1"/>
      <c r="EG104" s="1"/>
      <c r="EH104" s="1"/>
      <c r="EI104" s="1"/>
      <c r="EJ104" s="1"/>
      <c r="EK104" s="1"/>
      <c r="EL104" s="1"/>
      <c r="EM104" s="1"/>
      <c r="EN104" s="1"/>
      <c r="EO104" s="1"/>
      <c r="EP104" s="1"/>
      <c r="EQ104" s="1"/>
      <c r="ER104" s="1"/>
    </row>
    <row r="105" spans="2:148" ht="18" customHeight="1" x14ac:dyDescent="0.25">
      <c r="B105" s="7"/>
      <c r="AP105" s="9"/>
      <c r="AR105" s="7"/>
      <c r="CF105" s="9"/>
      <c r="DY105" s="1"/>
      <c r="DZ105" s="1"/>
      <c r="EA105" s="1"/>
      <c r="ED105" s="1"/>
      <c r="EE105" s="1"/>
      <c r="EF105" s="1"/>
      <c r="EG105" s="1"/>
      <c r="EH105" s="1"/>
      <c r="EI105" s="1"/>
      <c r="EJ105" s="1"/>
      <c r="EK105" s="1"/>
      <c r="EL105" s="1"/>
      <c r="EM105" s="1"/>
      <c r="EN105" s="1"/>
      <c r="EO105" s="1"/>
      <c r="EP105" s="1"/>
      <c r="EQ105" s="1"/>
      <c r="ER105" s="1"/>
    </row>
    <row r="106" spans="2:148" ht="18" customHeight="1" x14ac:dyDescent="0.25">
      <c r="B106" s="7"/>
      <c r="AP106" s="9"/>
      <c r="AR106" s="7"/>
      <c r="CF106" s="9"/>
      <c r="DY106" s="1"/>
      <c r="DZ106" s="1"/>
      <c r="EA106" s="1"/>
      <c r="ED106" s="1"/>
      <c r="EE106" s="1"/>
      <c r="EF106" s="1"/>
      <c r="EG106" s="1"/>
      <c r="EH106" s="1"/>
      <c r="EI106" s="1"/>
      <c r="EJ106" s="1"/>
      <c r="EK106" s="1"/>
      <c r="EL106" s="1"/>
      <c r="EM106" s="1"/>
      <c r="EN106" s="1"/>
      <c r="EO106" s="1"/>
      <c r="EP106" s="1"/>
      <c r="EQ106" s="1"/>
      <c r="ER106" s="1"/>
    </row>
    <row r="107" spans="2:148" ht="18" customHeight="1" x14ac:dyDescent="0.25">
      <c r="B107" s="7"/>
      <c r="AP107" s="9"/>
      <c r="AR107" s="7"/>
      <c r="CF107" s="9"/>
      <c r="DY107" s="1"/>
      <c r="DZ107" s="1"/>
      <c r="EA107" s="1"/>
      <c r="ED107" s="1"/>
      <c r="EE107" s="1"/>
      <c r="EF107" s="1"/>
      <c r="EG107" s="1"/>
      <c r="EH107" s="1"/>
      <c r="EI107" s="1"/>
      <c r="EJ107" s="1"/>
      <c r="EK107" s="1"/>
      <c r="EL107" s="1"/>
      <c r="EM107" s="1"/>
      <c r="EN107" s="1"/>
      <c r="EO107" s="1"/>
      <c r="EP107" s="1"/>
      <c r="EQ107" s="1"/>
      <c r="ER107" s="1"/>
    </row>
    <row r="108" spans="2:148" ht="18" customHeight="1" x14ac:dyDescent="0.25">
      <c r="B108" s="7"/>
      <c r="AP108" s="9"/>
      <c r="AR108" s="7"/>
      <c r="CF108" s="9"/>
      <c r="DY108" s="1"/>
      <c r="DZ108" s="1"/>
      <c r="EA108" s="1"/>
      <c r="ED108" s="1"/>
      <c r="EE108" s="1"/>
      <c r="EF108" s="1"/>
      <c r="EG108" s="1"/>
      <c r="EH108" s="1"/>
      <c r="EI108" s="1"/>
      <c r="EJ108" s="1"/>
      <c r="EK108" s="1"/>
      <c r="EL108" s="1"/>
      <c r="EM108" s="1"/>
      <c r="EN108" s="1"/>
      <c r="EO108" s="1"/>
      <c r="EP108" s="1"/>
      <c r="EQ108" s="1"/>
      <c r="ER108" s="1"/>
    </row>
    <row r="109" spans="2:148" ht="18" customHeight="1" x14ac:dyDescent="0.25">
      <c r="B109" s="7"/>
      <c r="AP109" s="9"/>
      <c r="AR109" s="7"/>
      <c r="CF109" s="9"/>
      <c r="DY109" s="1"/>
      <c r="DZ109" s="1"/>
      <c r="EA109" s="1"/>
      <c r="ED109" s="1"/>
      <c r="EE109" s="1"/>
      <c r="EF109" s="1"/>
      <c r="EG109" s="1"/>
      <c r="EH109" s="1"/>
      <c r="EI109" s="1"/>
      <c r="EJ109" s="1"/>
      <c r="EK109" s="1"/>
      <c r="EL109" s="1"/>
      <c r="EM109" s="1"/>
      <c r="EN109" s="1"/>
      <c r="EO109" s="1"/>
      <c r="EP109" s="1"/>
      <c r="EQ109" s="1"/>
      <c r="ER109" s="1"/>
    </row>
    <row r="110" spans="2:148" ht="18" customHeight="1" x14ac:dyDescent="0.25">
      <c r="B110" s="7"/>
      <c r="AP110" s="9"/>
      <c r="AR110" s="7"/>
      <c r="CF110" s="9"/>
      <c r="DY110" s="1"/>
      <c r="DZ110" s="1"/>
      <c r="EA110" s="1"/>
      <c r="ED110" s="1"/>
      <c r="EE110" s="1"/>
      <c r="EF110" s="1"/>
      <c r="EG110" s="1"/>
      <c r="EH110" s="1"/>
      <c r="EI110" s="1"/>
      <c r="EJ110" s="1"/>
      <c r="EK110" s="1"/>
      <c r="EL110" s="1"/>
      <c r="EM110" s="1"/>
      <c r="EN110" s="1"/>
      <c r="EO110" s="1"/>
      <c r="EP110" s="1"/>
      <c r="EQ110" s="1"/>
      <c r="ER110" s="1"/>
    </row>
    <row r="111" spans="2:148" ht="18" customHeight="1" x14ac:dyDescent="0.25">
      <c r="B111" s="7"/>
      <c r="AP111" s="9"/>
      <c r="AR111" s="7"/>
      <c r="CF111" s="9"/>
      <c r="DY111" s="1"/>
      <c r="DZ111" s="1"/>
      <c r="EA111" s="1"/>
      <c r="ED111" s="1"/>
      <c r="EE111" s="1"/>
      <c r="EF111" s="1"/>
      <c r="EG111" s="1"/>
      <c r="EH111" s="1"/>
      <c r="EI111" s="1"/>
      <c r="EJ111" s="1"/>
      <c r="EK111" s="1"/>
      <c r="EL111" s="1"/>
      <c r="EM111" s="1"/>
      <c r="EN111" s="1"/>
      <c r="EO111" s="1"/>
      <c r="EP111" s="1"/>
      <c r="EQ111" s="1"/>
      <c r="ER111" s="1"/>
    </row>
    <row r="112" spans="2:148" ht="18" customHeight="1" x14ac:dyDescent="0.25">
      <c r="B112" s="7"/>
      <c r="AP112" s="9"/>
      <c r="AR112" s="7"/>
      <c r="CF112" s="9"/>
      <c r="DY112" s="1"/>
      <c r="DZ112" s="1"/>
      <c r="EA112" s="1"/>
      <c r="ED112" s="1"/>
      <c r="EE112" s="1"/>
      <c r="EF112" s="1"/>
      <c r="EG112" s="1"/>
      <c r="EH112" s="1"/>
      <c r="EI112" s="1"/>
      <c r="EJ112" s="1"/>
      <c r="EK112" s="1"/>
      <c r="EL112" s="1"/>
      <c r="EM112" s="1"/>
      <c r="EN112" s="1"/>
      <c r="EO112" s="1"/>
      <c r="EP112" s="1"/>
      <c r="EQ112" s="1"/>
      <c r="ER112" s="1"/>
    </row>
    <row r="113" spans="2:148" ht="18" customHeight="1" x14ac:dyDescent="0.25">
      <c r="B113" s="7"/>
      <c r="AP113" s="9"/>
      <c r="AR113" s="7"/>
      <c r="CF113" s="9"/>
      <c r="DY113" s="1"/>
      <c r="DZ113" s="1"/>
      <c r="EA113" s="1"/>
      <c r="ED113" s="1"/>
      <c r="EE113" s="1"/>
      <c r="EF113" s="1"/>
      <c r="EG113" s="1"/>
      <c r="EH113" s="1"/>
      <c r="EI113" s="1"/>
      <c r="EJ113" s="1"/>
      <c r="EK113" s="1"/>
      <c r="EL113" s="1"/>
      <c r="EM113" s="1"/>
      <c r="EN113" s="1"/>
      <c r="EO113" s="1"/>
      <c r="EP113" s="1"/>
      <c r="EQ113" s="1"/>
      <c r="ER113" s="1"/>
    </row>
    <row r="114" spans="2:148" ht="18" customHeight="1" x14ac:dyDescent="0.25">
      <c r="B114" s="7"/>
      <c r="AP114" s="9"/>
      <c r="AR114" s="7"/>
      <c r="CF114" s="9"/>
      <c r="DY114" s="1"/>
      <c r="DZ114" s="1"/>
      <c r="EA114" s="1"/>
      <c r="ED114" s="1"/>
      <c r="EE114" s="1"/>
      <c r="EF114" s="1"/>
      <c r="EG114" s="1"/>
      <c r="EH114" s="1"/>
      <c r="EI114" s="1"/>
      <c r="EJ114" s="1"/>
      <c r="EK114" s="1"/>
      <c r="EL114" s="1"/>
      <c r="EM114" s="1"/>
      <c r="EN114" s="1"/>
      <c r="EO114" s="1"/>
      <c r="EP114" s="1"/>
      <c r="EQ114" s="1"/>
      <c r="ER114" s="1"/>
    </row>
    <row r="115" spans="2:148" ht="18" customHeight="1" x14ac:dyDescent="0.25">
      <c r="B115" s="7"/>
      <c r="AP115" s="9"/>
      <c r="AR115" s="7"/>
      <c r="CF115" s="9"/>
      <c r="DY115" s="1"/>
      <c r="DZ115" s="1"/>
      <c r="EA115" s="1"/>
      <c r="ED115" s="1"/>
      <c r="EE115" s="1"/>
      <c r="EF115" s="1"/>
      <c r="EG115" s="1"/>
      <c r="EH115" s="1"/>
      <c r="EI115" s="1"/>
      <c r="EJ115" s="1"/>
      <c r="EK115" s="1"/>
      <c r="EL115" s="1"/>
      <c r="EM115" s="1"/>
      <c r="EN115" s="1"/>
      <c r="EO115" s="1"/>
      <c r="EP115" s="1"/>
      <c r="EQ115" s="1"/>
      <c r="ER115" s="1"/>
    </row>
    <row r="116" spans="2:148" ht="18" customHeight="1" x14ac:dyDescent="0.25">
      <c r="B116" s="7"/>
      <c r="AP116" s="9"/>
      <c r="AR116" s="7"/>
      <c r="CF116" s="9"/>
      <c r="DY116" s="1"/>
      <c r="DZ116" s="1"/>
      <c r="EA116" s="1"/>
      <c r="ED116" s="1"/>
      <c r="EE116" s="1"/>
      <c r="EF116" s="1"/>
      <c r="EG116" s="1"/>
      <c r="EH116" s="1"/>
      <c r="EI116" s="1"/>
      <c r="EJ116" s="1"/>
      <c r="EK116" s="1"/>
      <c r="EL116" s="1"/>
      <c r="EM116" s="1"/>
      <c r="EN116" s="1"/>
      <c r="EO116" s="1"/>
      <c r="EP116" s="1"/>
      <c r="EQ116" s="1"/>
      <c r="ER116" s="1"/>
    </row>
    <row r="117" spans="2:148" ht="18" customHeight="1" x14ac:dyDescent="0.25">
      <c r="B117" s="7"/>
      <c r="AP117" s="9"/>
      <c r="AR117" s="7"/>
      <c r="CF117" s="9"/>
      <c r="DY117" s="1"/>
      <c r="DZ117" s="1"/>
      <c r="EA117" s="1"/>
      <c r="ED117" s="1"/>
      <c r="EE117" s="1"/>
      <c r="EF117" s="1"/>
      <c r="EG117" s="1"/>
      <c r="EH117" s="1"/>
      <c r="EI117" s="1"/>
      <c r="EJ117" s="1"/>
      <c r="EK117" s="1"/>
      <c r="EL117" s="1"/>
      <c r="EM117" s="1"/>
      <c r="EN117" s="1"/>
      <c r="EO117" s="1"/>
      <c r="EP117" s="1"/>
      <c r="EQ117" s="1"/>
      <c r="ER117" s="1"/>
    </row>
    <row r="118" spans="2:148" ht="18" customHeight="1" x14ac:dyDescent="0.25">
      <c r="B118" s="7"/>
      <c r="AP118" s="9"/>
      <c r="AR118" s="7"/>
      <c r="CF118" s="9"/>
      <c r="DY118" s="1"/>
      <c r="DZ118" s="1"/>
      <c r="EA118" s="1"/>
      <c r="ED118" s="1"/>
      <c r="EE118" s="1"/>
      <c r="EF118" s="1"/>
      <c r="EG118" s="1"/>
      <c r="EH118" s="1"/>
      <c r="EI118" s="1"/>
      <c r="EJ118" s="1"/>
      <c r="EK118" s="1"/>
      <c r="EL118" s="1"/>
      <c r="EM118" s="1"/>
      <c r="EN118" s="1"/>
      <c r="EO118" s="1"/>
      <c r="EP118" s="1"/>
      <c r="EQ118" s="1"/>
      <c r="ER118" s="1"/>
    </row>
    <row r="119" spans="2:148" ht="18" customHeight="1" x14ac:dyDescent="0.25">
      <c r="B119" s="7"/>
      <c r="AP119" s="9"/>
      <c r="AR119" s="7"/>
      <c r="CF119" s="9"/>
      <c r="DY119" s="1"/>
      <c r="DZ119" s="1"/>
      <c r="EA119" s="1"/>
      <c r="ED119" s="1"/>
      <c r="EE119" s="1"/>
      <c r="EF119" s="1"/>
      <c r="EG119" s="1"/>
      <c r="EH119" s="1"/>
      <c r="EI119" s="1"/>
      <c r="EJ119" s="1"/>
      <c r="EK119" s="1"/>
      <c r="EL119" s="1"/>
      <c r="EM119" s="1"/>
      <c r="EN119" s="1"/>
      <c r="EO119" s="1"/>
      <c r="EP119" s="1"/>
      <c r="EQ119" s="1"/>
      <c r="ER119" s="1"/>
    </row>
    <row r="120" spans="2:148" ht="18" customHeight="1" x14ac:dyDescent="0.25">
      <c r="B120" s="7"/>
      <c r="AP120" s="9"/>
      <c r="AR120" s="7"/>
      <c r="CF120" s="9"/>
      <c r="DY120" s="1"/>
      <c r="DZ120" s="1"/>
      <c r="EA120" s="1"/>
      <c r="ED120" s="1"/>
      <c r="EE120" s="1"/>
      <c r="EF120" s="1"/>
      <c r="EG120" s="1"/>
      <c r="EH120" s="1"/>
      <c r="EI120" s="1"/>
      <c r="EJ120" s="1"/>
      <c r="EK120" s="1"/>
      <c r="EL120" s="1"/>
      <c r="EM120" s="1"/>
      <c r="EN120" s="1"/>
      <c r="EO120" s="1"/>
      <c r="EP120" s="1"/>
      <c r="EQ120" s="1"/>
      <c r="ER120" s="1"/>
    </row>
    <row r="121" spans="2:148" ht="18" customHeight="1" x14ac:dyDescent="0.25">
      <c r="B121" s="7"/>
      <c r="AP121" s="9"/>
      <c r="AR121" s="7"/>
      <c r="CF121" s="9"/>
      <c r="DY121" s="1"/>
      <c r="DZ121" s="1"/>
      <c r="EA121" s="1"/>
      <c r="ED121" s="1"/>
      <c r="EE121" s="1"/>
      <c r="EF121" s="1"/>
      <c r="EG121" s="1"/>
      <c r="EH121" s="1"/>
      <c r="EI121" s="1"/>
      <c r="EJ121" s="1"/>
      <c r="EK121" s="1"/>
      <c r="EL121" s="1"/>
      <c r="EM121" s="1"/>
      <c r="EN121" s="1"/>
      <c r="EO121" s="1"/>
      <c r="EP121" s="1"/>
      <c r="EQ121" s="1"/>
      <c r="ER121" s="1"/>
    </row>
    <row r="122" spans="2:148" ht="18" customHeight="1" x14ac:dyDescent="0.25">
      <c r="B122" s="7"/>
      <c r="AP122" s="9"/>
      <c r="AR122" s="7"/>
      <c r="CF122" s="9"/>
      <c r="DY122" s="1"/>
      <c r="DZ122" s="1"/>
      <c r="EA122" s="1"/>
      <c r="ED122" s="1"/>
      <c r="EE122" s="1"/>
      <c r="EF122" s="1"/>
      <c r="EG122" s="1"/>
      <c r="EH122" s="1"/>
      <c r="EI122" s="1"/>
      <c r="EJ122" s="1"/>
      <c r="EK122" s="1"/>
      <c r="EL122" s="1"/>
      <c r="EM122" s="1"/>
      <c r="EN122" s="1"/>
      <c r="EO122" s="1"/>
      <c r="EP122" s="1"/>
      <c r="EQ122" s="1"/>
      <c r="ER122" s="1"/>
    </row>
    <row r="123" spans="2:148" ht="18" customHeight="1" x14ac:dyDescent="0.25">
      <c r="B123" s="7"/>
      <c r="AP123" s="9"/>
      <c r="AR123" s="7"/>
      <c r="CF123" s="9"/>
      <c r="DY123" s="1"/>
      <c r="DZ123" s="1"/>
      <c r="EA123" s="1"/>
      <c r="ED123" s="1"/>
      <c r="EE123" s="1"/>
      <c r="EF123" s="1"/>
      <c r="EG123" s="1"/>
      <c r="EH123" s="1"/>
      <c r="EI123" s="1"/>
      <c r="EJ123" s="1"/>
      <c r="EK123" s="1"/>
      <c r="EL123" s="1"/>
      <c r="EM123" s="1"/>
      <c r="EN123" s="1"/>
      <c r="EO123" s="1"/>
      <c r="EP123" s="1"/>
      <c r="EQ123" s="1"/>
      <c r="ER123" s="1"/>
    </row>
    <row r="124" spans="2:148" ht="18" customHeight="1" x14ac:dyDescent="0.25">
      <c r="B124" s="7"/>
      <c r="AP124" s="9"/>
      <c r="AR124" s="7"/>
      <c r="CF124" s="9"/>
      <c r="DY124" s="1"/>
      <c r="DZ124" s="1"/>
      <c r="EA124" s="1"/>
      <c r="ED124" s="1"/>
      <c r="EE124" s="1"/>
      <c r="EF124" s="1"/>
      <c r="EG124" s="1"/>
      <c r="EH124" s="1"/>
      <c r="EI124" s="1"/>
      <c r="EJ124" s="1"/>
      <c r="EK124" s="1"/>
      <c r="EL124" s="1"/>
      <c r="EM124" s="1"/>
      <c r="EN124" s="1"/>
      <c r="EO124" s="1"/>
      <c r="EP124" s="1"/>
      <c r="EQ124" s="1"/>
      <c r="ER124" s="1"/>
    </row>
    <row r="125" spans="2:148" ht="18" customHeight="1" x14ac:dyDescent="0.25">
      <c r="B125" s="7"/>
      <c r="AP125" s="9"/>
      <c r="AR125" s="7"/>
      <c r="CF125" s="9"/>
      <c r="DY125" s="1"/>
      <c r="DZ125" s="1"/>
      <c r="EA125" s="1"/>
      <c r="ED125" s="1"/>
      <c r="EE125" s="1"/>
      <c r="EF125" s="1"/>
      <c r="EG125" s="1"/>
      <c r="EH125" s="1"/>
      <c r="EI125" s="1"/>
      <c r="EJ125" s="1"/>
      <c r="EK125" s="1"/>
      <c r="EL125" s="1"/>
      <c r="EM125" s="1"/>
      <c r="EN125" s="1"/>
      <c r="EO125" s="1"/>
      <c r="EP125" s="1"/>
      <c r="EQ125" s="1"/>
      <c r="ER125" s="1"/>
    </row>
    <row r="126" spans="2:148" ht="18" customHeight="1" x14ac:dyDescent="0.25">
      <c r="B126" s="7"/>
      <c r="AP126" s="9"/>
      <c r="AR126" s="7"/>
      <c r="CF126" s="9"/>
      <c r="DY126" s="1"/>
      <c r="DZ126" s="1"/>
      <c r="EA126" s="1"/>
      <c r="ED126" s="1"/>
      <c r="EE126" s="1"/>
      <c r="EF126" s="1"/>
      <c r="EG126" s="1"/>
      <c r="EH126" s="1"/>
      <c r="EI126" s="1"/>
      <c r="EJ126" s="1"/>
      <c r="EK126" s="1"/>
      <c r="EL126" s="1"/>
      <c r="EM126" s="1"/>
      <c r="EN126" s="1"/>
      <c r="EO126" s="1"/>
      <c r="EP126" s="1"/>
      <c r="EQ126" s="1"/>
      <c r="ER126" s="1"/>
    </row>
    <row r="127" spans="2:148" ht="18" customHeight="1" x14ac:dyDescent="0.25">
      <c r="B127" s="7"/>
      <c r="AP127" s="9"/>
      <c r="AR127" s="7"/>
      <c r="CF127" s="9"/>
      <c r="DY127" s="1"/>
      <c r="DZ127" s="1"/>
      <c r="EA127" s="1"/>
      <c r="ED127" s="1"/>
      <c r="EE127" s="1"/>
      <c r="EF127" s="1"/>
      <c r="EG127" s="1"/>
      <c r="EH127" s="1"/>
      <c r="EI127" s="1"/>
      <c r="EJ127" s="1"/>
      <c r="EK127" s="1"/>
      <c r="EL127" s="1"/>
      <c r="EM127" s="1"/>
      <c r="EN127" s="1"/>
      <c r="EO127" s="1"/>
      <c r="EP127" s="1"/>
      <c r="EQ127" s="1"/>
      <c r="ER127" s="1"/>
    </row>
    <row r="128" spans="2:148" ht="18" customHeight="1" x14ac:dyDescent="0.25">
      <c r="B128" s="7"/>
      <c r="AP128" s="9"/>
      <c r="AR128" s="7"/>
      <c r="CF128" s="9"/>
      <c r="DY128" s="1"/>
      <c r="DZ128" s="1"/>
      <c r="EA128" s="1"/>
      <c r="ED128" s="1"/>
      <c r="EE128" s="1"/>
      <c r="EF128" s="1"/>
      <c r="EG128" s="1"/>
      <c r="EH128" s="1"/>
      <c r="EI128" s="1"/>
      <c r="EJ128" s="1"/>
      <c r="EK128" s="1"/>
      <c r="EL128" s="1"/>
      <c r="EM128" s="1"/>
      <c r="EN128" s="1"/>
      <c r="EO128" s="1"/>
      <c r="EP128" s="1"/>
      <c r="EQ128" s="1"/>
      <c r="ER128" s="1"/>
    </row>
    <row r="129" spans="2:148" ht="18" customHeight="1" x14ac:dyDescent="0.25">
      <c r="B129" s="7"/>
      <c r="AP129" s="9"/>
      <c r="AR129" s="7"/>
      <c r="CF129" s="9"/>
      <c r="DY129" s="1"/>
      <c r="DZ129" s="1"/>
      <c r="EA129" s="1"/>
      <c r="ED129" s="1"/>
      <c r="EE129" s="1"/>
      <c r="EF129" s="1"/>
      <c r="EG129" s="1"/>
      <c r="EH129" s="1"/>
      <c r="EI129" s="1"/>
      <c r="EJ129" s="1"/>
      <c r="EK129" s="1"/>
      <c r="EL129" s="1"/>
      <c r="EM129" s="1"/>
      <c r="EN129" s="1"/>
      <c r="EO129" s="1"/>
      <c r="EP129" s="1"/>
      <c r="EQ129" s="1"/>
      <c r="ER129" s="1"/>
    </row>
    <row r="130" spans="2:148" ht="18" customHeight="1" x14ac:dyDescent="0.25">
      <c r="B130" s="7"/>
      <c r="AP130" s="9"/>
      <c r="AR130" s="7"/>
      <c r="CF130" s="9"/>
      <c r="DY130" s="1"/>
      <c r="DZ130" s="1"/>
      <c r="EA130" s="1"/>
      <c r="ED130" s="1"/>
      <c r="EE130" s="1"/>
      <c r="EF130" s="1"/>
      <c r="EG130" s="1"/>
      <c r="EH130" s="1"/>
      <c r="EI130" s="1"/>
      <c r="EJ130" s="1"/>
      <c r="EK130" s="1"/>
      <c r="EL130" s="1"/>
      <c r="EM130" s="1"/>
      <c r="EN130" s="1"/>
      <c r="EO130" s="1"/>
      <c r="EP130" s="1"/>
      <c r="EQ130" s="1"/>
      <c r="ER130" s="1"/>
    </row>
    <row r="131" spans="2:148" ht="18" customHeight="1" x14ac:dyDescent="0.25">
      <c r="B131" s="7"/>
      <c r="AP131" s="9"/>
      <c r="AR131" s="7"/>
      <c r="CF131" s="9"/>
      <c r="DY131" s="1"/>
      <c r="DZ131" s="1"/>
      <c r="EA131" s="1"/>
      <c r="ED131" s="1"/>
      <c r="EE131" s="1"/>
      <c r="EF131" s="1"/>
      <c r="EG131" s="1"/>
      <c r="EH131" s="1"/>
      <c r="EI131" s="1"/>
      <c r="EJ131" s="1"/>
      <c r="EK131" s="1"/>
      <c r="EL131" s="1"/>
      <c r="EM131" s="1"/>
      <c r="EN131" s="1"/>
      <c r="EO131" s="1"/>
      <c r="EP131" s="1"/>
      <c r="EQ131" s="1"/>
      <c r="ER131" s="1"/>
    </row>
    <row r="132" spans="2:148" ht="18" customHeight="1" x14ac:dyDescent="0.25">
      <c r="B132" s="7"/>
      <c r="AP132" s="9"/>
      <c r="AR132" s="7"/>
      <c r="CF132" s="9"/>
      <c r="DY132" s="1"/>
      <c r="DZ132" s="1"/>
      <c r="EA132" s="1"/>
      <c r="ED132" s="1"/>
      <c r="EE132" s="1"/>
      <c r="EF132" s="1"/>
      <c r="EG132" s="1"/>
      <c r="EH132" s="1"/>
      <c r="EI132" s="1"/>
      <c r="EJ132" s="1"/>
      <c r="EK132" s="1"/>
      <c r="EL132" s="1"/>
      <c r="EM132" s="1"/>
      <c r="EN132" s="1"/>
      <c r="EO132" s="1"/>
      <c r="EP132" s="1"/>
      <c r="EQ132" s="1"/>
      <c r="ER132" s="1"/>
    </row>
    <row r="133" spans="2:148" ht="18" customHeight="1" x14ac:dyDescent="0.25">
      <c r="B133" s="7"/>
      <c r="AP133" s="9"/>
      <c r="AR133" s="7"/>
      <c r="CF133" s="9"/>
      <c r="DY133" s="1"/>
      <c r="DZ133" s="1"/>
      <c r="EA133" s="1"/>
      <c r="ED133" s="1"/>
      <c r="EE133" s="1"/>
      <c r="EF133" s="1"/>
      <c r="EG133" s="1"/>
      <c r="EH133" s="1"/>
      <c r="EI133" s="1"/>
      <c r="EJ133" s="1"/>
      <c r="EK133" s="1"/>
      <c r="EL133" s="1"/>
      <c r="EM133" s="1"/>
      <c r="EN133" s="1"/>
      <c r="EO133" s="1"/>
      <c r="EP133" s="1"/>
      <c r="EQ133" s="1"/>
      <c r="ER133" s="1"/>
    </row>
    <row r="134" spans="2:148" ht="18" customHeight="1" x14ac:dyDescent="0.25">
      <c r="B134" s="7"/>
      <c r="AP134" s="9"/>
      <c r="AR134" s="7"/>
      <c r="CF134" s="9"/>
      <c r="DY134" s="1"/>
      <c r="DZ134" s="1"/>
      <c r="EA134" s="1"/>
      <c r="ED134" s="1"/>
      <c r="EE134" s="1"/>
      <c r="EF134" s="1"/>
      <c r="EG134" s="1"/>
      <c r="EH134" s="1"/>
      <c r="EI134" s="1"/>
      <c r="EJ134" s="1"/>
      <c r="EK134" s="1"/>
      <c r="EL134" s="1"/>
      <c r="EM134" s="1"/>
      <c r="EN134" s="1"/>
      <c r="EO134" s="1"/>
      <c r="EP134" s="1"/>
      <c r="EQ134" s="1"/>
      <c r="ER134" s="1"/>
    </row>
    <row r="135" spans="2:148" ht="18" customHeight="1" x14ac:dyDescent="0.25">
      <c r="B135" s="7"/>
      <c r="AP135" s="9"/>
      <c r="AR135" s="7"/>
      <c r="CF135" s="9"/>
      <c r="DY135" s="1"/>
      <c r="DZ135" s="1"/>
      <c r="EA135" s="1"/>
      <c r="ED135" s="1"/>
      <c r="EE135" s="1"/>
      <c r="EF135" s="1"/>
      <c r="EG135" s="1"/>
      <c r="EH135" s="1"/>
      <c r="EI135" s="1"/>
      <c r="EJ135" s="1"/>
      <c r="EK135" s="1"/>
      <c r="EL135" s="1"/>
      <c r="EM135" s="1"/>
      <c r="EN135" s="1"/>
      <c r="EO135" s="1"/>
      <c r="EP135" s="1"/>
      <c r="EQ135" s="1"/>
      <c r="ER135" s="1"/>
    </row>
    <row r="136" spans="2:148" ht="18" customHeight="1" x14ac:dyDescent="0.25">
      <c r="B136" s="7"/>
      <c r="AP136" s="9"/>
      <c r="AR136" s="7"/>
      <c r="CF136" s="9"/>
      <c r="DY136" s="1"/>
      <c r="DZ136" s="1"/>
      <c r="EA136" s="1"/>
      <c r="ED136" s="1"/>
      <c r="EE136" s="1"/>
      <c r="EF136" s="1"/>
      <c r="EG136" s="1"/>
      <c r="EH136" s="1"/>
      <c r="EI136" s="1"/>
      <c r="EJ136" s="1"/>
      <c r="EK136" s="1"/>
      <c r="EL136" s="1"/>
      <c r="EM136" s="1"/>
      <c r="EN136" s="1"/>
      <c r="EO136" s="1"/>
      <c r="EP136" s="1"/>
      <c r="EQ136" s="1"/>
      <c r="ER136" s="1"/>
    </row>
    <row r="137" spans="2:148" ht="18" customHeight="1" x14ac:dyDescent="0.25">
      <c r="B137" s="7"/>
      <c r="AP137" s="9"/>
      <c r="AR137" s="7"/>
      <c r="CF137" s="9"/>
      <c r="DY137" s="1"/>
      <c r="DZ137" s="1"/>
      <c r="EA137" s="1"/>
      <c r="ED137" s="1"/>
      <c r="EE137" s="1"/>
      <c r="EF137" s="1"/>
      <c r="EG137" s="1"/>
      <c r="EH137" s="1"/>
      <c r="EI137" s="1"/>
      <c r="EJ137" s="1"/>
      <c r="EK137" s="1"/>
      <c r="EL137" s="1"/>
      <c r="EM137" s="1"/>
      <c r="EN137" s="1"/>
      <c r="EO137" s="1"/>
      <c r="EP137" s="1"/>
      <c r="EQ137" s="1"/>
      <c r="ER137" s="1"/>
    </row>
    <row r="138" spans="2:148" ht="18" customHeight="1" x14ac:dyDescent="0.25">
      <c r="B138" s="7"/>
      <c r="AP138" s="9"/>
      <c r="AR138" s="7"/>
      <c r="CF138" s="9"/>
      <c r="DY138" s="1"/>
      <c r="DZ138" s="1"/>
      <c r="EA138" s="1"/>
      <c r="ED138" s="1"/>
      <c r="EE138" s="1"/>
      <c r="EF138" s="1"/>
      <c r="EG138" s="1"/>
      <c r="EH138" s="1"/>
      <c r="EI138" s="1"/>
      <c r="EJ138" s="1"/>
      <c r="EK138" s="1"/>
      <c r="EL138" s="1"/>
      <c r="EM138" s="1"/>
      <c r="EN138" s="1"/>
      <c r="EO138" s="1"/>
      <c r="EP138" s="1"/>
      <c r="EQ138" s="1"/>
      <c r="ER138" s="1"/>
    </row>
    <row r="139" spans="2:148" ht="18" customHeight="1" x14ac:dyDescent="0.25">
      <c r="B139" s="7"/>
      <c r="AP139" s="9"/>
      <c r="AR139" s="7"/>
      <c r="CF139" s="9"/>
      <c r="DY139" s="1"/>
      <c r="DZ139" s="1"/>
      <c r="EA139" s="1"/>
      <c r="ED139" s="1"/>
      <c r="EE139" s="1"/>
      <c r="EF139" s="1"/>
      <c r="EG139" s="1"/>
      <c r="EH139" s="1"/>
      <c r="EI139" s="1"/>
      <c r="EJ139" s="1"/>
      <c r="EK139" s="1"/>
      <c r="EL139" s="1"/>
      <c r="EM139" s="1"/>
      <c r="EN139" s="1"/>
      <c r="EO139" s="1"/>
      <c r="EP139" s="1"/>
      <c r="EQ139" s="1"/>
      <c r="ER139" s="1"/>
    </row>
    <row r="140" spans="2:148" ht="18" customHeight="1" x14ac:dyDescent="0.25">
      <c r="B140" s="7"/>
      <c r="AP140" s="9"/>
      <c r="AR140" s="7"/>
      <c r="CF140" s="9"/>
      <c r="DY140" s="1"/>
      <c r="DZ140" s="1"/>
      <c r="EA140" s="1"/>
      <c r="ED140" s="1"/>
      <c r="EE140" s="1"/>
      <c r="EF140" s="1"/>
      <c r="EG140" s="1"/>
      <c r="EH140" s="1"/>
      <c r="EI140" s="1"/>
      <c r="EJ140" s="1"/>
      <c r="EK140" s="1"/>
      <c r="EL140" s="1"/>
      <c r="EM140" s="1"/>
      <c r="EN140" s="1"/>
      <c r="EO140" s="1"/>
      <c r="EP140" s="1"/>
      <c r="EQ140" s="1"/>
      <c r="ER140" s="1"/>
    </row>
    <row r="141" spans="2:148" ht="18" customHeight="1" x14ac:dyDescent="0.25">
      <c r="B141" s="7"/>
      <c r="AP141" s="9"/>
      <c r="AR141" s="7"/>
      <c r="CF141" s="9"/>
      <c r="DY141" s="1"/>
      <c r="DZ141" s="1"/>
      <c r="EA141" s="1"/>
      <c r="ED141" s="1"/>
      <c r="EE141" s="1"/>
      <c r="EF141" s="1"/>
      <c r="EG141" s="1"/>
      <c r="EH141" s="1"/>
      <c r="EI141" s="1"/>
      <c r="EJ141" s="1"/>
      <c r="EK141" s="1"/>
      <c r="EL141" s="1"/>
      <c r="EM141" s="1"/>
      <c r="EN141" s="1"/>
      <c r="EO141" s="1"/>
      <c r="EP141" s="1"/>
      <c r="EQ141" s="1"/>
      <c r="ER141" s="1"/>
    </row>
    <row r="142" spans="2:148" ht="18" customHeight="1" x14ac:dyDescent="0.25">
      <c r="B142" s="7"/>
      <c r="AP142" s="9"/>
      <c r="AR142" s="7"/>
      <c r="CF142" s="9"/>
      <c r="DY142" s="1"/>
      <c r="DZ142" s="1"/>
      <c r="EA142" s="1"/>
      <c r="ED142" s="1"/>
      <c r="EE142" s="1"/>
      <c r="EF142" s="1"/>
      <c r="EG142" s="1"/>
      <c r="EH142" s="1"/>
      <c r="EI142" s="1"/>
      <c r="EJ142" s="1"/>
      <c r="EK142" s="1"/>
      <c r="EL142" s="1"/>
      <c r="EM142" s="1"/>
      <c r="EN142" s="1"/>
      <c r="EO142" s="1"/>
      <c r="EP142" s="1"/>
      <c r="EQ142" s="1"/>
      <c r="ER142" s="1"/>
    </row>
    <row r="143" spans="2:148" ht="18" customHeight="1" x14ac:dyDescent="0.25">
      <c r="B143" s="7"/>
      <c r="AP143" s="9"/>
      <c r="AR143" s="7"/>
      <c r="CF143" s="9"/>
      <c r="DY143" s="1"/>
      <c r="DZ143" s="1"/>
      <c r="EA143" s="1"/>
      <c r="ED143" s="1"/>
      <c r="EE143" s="1"/>
      <c r="EF143" s="1"/>
      <c r="EG143" s="1"/>
      <c r="EH143" s="1"/>
      <c r="EI143" s="1"/>
      <c r="EJ143" s="1"/>
      <c r="EK143" s="1"/>
      <c r="EL143" s="1"/>
      <c r="EM143" s="1"/>
      <c r="EN143" s="1"/>
      <c r="EO143" s="1"/>
      <c r="EP143" s="1"/>
      <c r="EQ143" s="1"/>
      <c r="ER143" s="1"/>
    </row>
    <row r="144" spans="2:148" ht="18" customHeight="1" x14ac:dyDescent="0.25">
      <c r="B144" s="7"/>
      <c r="AP144" s="9"/>
      <c r="AR144" s="7"/>
      <c r="CF144" s="9"/>
      <c r="DY144" s="1"/>
      <c r="DZ144" s="1"/>
      <c r="EA144" s="1"/>
      <c r="ED144" s="1"/>
      <c r="EE144" s="1"/>
      <c r="EF144" s="1"/>
      <c r="EG144" s="1"/>
      <c r="EH144" s="1"/>
      <c r="EI144" s="1"/>
      <c r="EJ144" s="1"/>
      <c r="EK144" s="1"/>
      <c r="EL144" s="1"/>
      <c r="EM144" s="1"/>
      <c r="EN144" s="1"/>
      <c r="EO144" s="1"/>
      <c r="EP144" s="1"/>
      <c r="EQ144" s="1"/>
      <c r="ER144" s="1"/>
    </row>
    <row r="145" spans="2:148" ht="18" customHeight="1" thickBot="1" x14ac:dyDescent="0.3">
      <c r="B145" s="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2"/>
      <c r="AP145" s="9"/>
      <c r="AR145" s="7"/>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2"/>
      <c r="CF145" s="9"/>
      <c r="DY145" s="1"/>
      <c r="DZ145" s="1"/>
      <c r="EA145" s="1"/>
      <c r="ED145" s="1"/>
      <c r="EE145" s="1"/>
      <c r="EF145" s="1"/>
      <c r="EG145" s="1"/>
      <c r="EH145" s="1"/>
      <c r="EI145" s="1"/>
      <c r="EJ145" s="1"/>
      <c r="EK145" s="1"/>
      <c r="EL145" s="1"/>
      <c r="EM145" s="1"/>
      <c r="EN145" s="1"/>
      <c r="EO145" s="1"/>
      <c r="EP145" s="1"/>
      <c r="EQ145" s="1"/>
      <c r="ER145" s="1"/>
    </row>
    <row r="146" spans="2:148" ht="18" customHeight="1" x14ac:dyDescent="0.25">
      <c r="B146" s="7"/>
      <c r="D146" s="43" t="s">
        <v>86</v>
      </c>
      <c r="AO146" s="19" t="s">
        <v>107</v>
      </c>
      <c r="AP146" s="9"/>
      <c r="AR146" s="7"/>
      <c r="AT146" s="43" t="s">
        <v>86</v>
      </c>
      <c r="CE146" s="19" t="s">
        <v>108</v>
      </c>
      <c r="CF146" s="9"/>
      <c r="DY146" s="1"/>
      <c r="DZ146" s="1"/>
      <c r="EA146" s="1"/>
      <c r="ED146" s="1"/>
      <c r="EE146" s="1"/>
      <c r="EF146" s="1"/>
      <c r="EG146" s="1"/>
      <c r="EH146" s="1"/>
      <c r="EI146" s="1"/>
      <c r="EJ146" s="1"/>
      <c r="EK146" s="1"/>
      <c r="EL146" s="1"/>
      <c r="EM146" s="1"/>
      <c r="EN146" s="1"/>
      <c r="EO146" s="1"/>
      <c r="EP146" s="1"/>
      <c r="EQ146" s="1"/>
      <c r="ER146" s="1"/>
    </row>
    <row r="147" spans="2:148" ht="18" customHeight="1" x14ac:dyDescent="0.25">
      <c r="B147" s="44"/>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6"/>
      <c r="AR147" s="44"/>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6"/>
      <c r="DY147" s="1"/>
      <c r="DZ147" s="1"/>
      <c r="EA147" s="1"/>
      <c r="ED147" s="1"/>
      <c r="EE147" s="1"/>
      <c r="EF147" s="1"/>
      <c r="EG147" s="1"/>
      <c r="EH147" s="1"/>
      <c r="EI147" s="1"/>
      <c r="EJ147" s="1"/>
      <c r="EK147" s="1"/>
      <c r="EL147" s="1"/>
      <c r="EM147" s="1"/>
      <c r="EN147" s="1"/>
      <c r="EO147" s="1"/>
      <c r="EP147" s="1"/>
      <c r="EQ147" s="1"/>
      <c r="ER147" s="1"/>
    </row>
    <row r="148" spans="2:148" ht="18" customHeight="1" x14ac:dyDescent="0.25">
      <c r="DY148" s="1"/>
      <c r="DZ148" s="1"/>
      <c r="EA148" s="1"/>
      <c r="ED148" s="1"/>
      <c r="EE148" s="1"/>
      <c r="EF148" s="1"/>
      <c r="EG148" s="1"/>
      <c r="EH148" s="1"/>
      <c r="EI148" s="1"/>
      <c r="EJ148" s="1"/>
      <c r="EK148" s="1"/>
      <c r="EL148" s="1"/>
      <c r="EM148" s="1"/>
      <c r="EN148" s="1"/>
      <c r="EO148" s="1"/>
      <c r="EP148" s="1"/>
      <c r="EQ148" s="1"/>
      <c r="ER148" s="1"/>
    </row>
    <row r="149" spans="2:148" ht="18" customHeight="1" x14ac:dyDescent="0.25">
      <c r="B149" s="4"/>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6"/>
      <c r="AR149" s="4"/>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6"/>
      <c r="DY149" s="1"/>
      <c r="DZ149" s="1"/>
      <c r="EA149" s="1"/>
      <c r="ED149" s="1"/>
      <c r="EE149" s="1"/>
      <c r="EF149" s="1"/>
      <c r="EG149" s="1"/>
      <c r="EH149" s="1"/>
      <c r="EI149" s="1"/>
      <c r="EJ149" s="1"/>
      <c r="EK149" s="1"/>
      <c r="EL149" s="1"/>
      <c r="EM149" s="1"/>
      <c r="EN149" s="1"/>
      <c r="EO149" s="1"/>
      <c r="EP149" s="1"/>
      <c r="EQ149" s="1"/>
      <c r="ER149" s="1"/>
    </row>
    <row r="150" spans="2:148" ht="18" customHeight="1" x14ac:dyDescent="0.25">
      <c r="B150" s="7"/>
      <c r="AN150" s="8"/>
      <c r="AP150" s="9"/>
      <c r="AR150" s="7"/>
      <c r="CD150" s="8"/>
      <c r="CF150" s="9"/>
      <c r="DY150" s="1"/>
      <c r="DZ150" s="1"/>
      <c r="EA150" s="1"/>
      <c r="ED150" s="1"/>
      <c r="EE150" s="1"/>
      <c r="EF150" s="1"/>
      <c r="EG150" s="1"/>
      <c r="EH150" s="1"/>
      <c r="EI150" s="1"/>
      <c r="EJ150" s="1"/>
      <c r="EK150" s="1"/>
      <c r="EL150" s="1"/>
      <c r="EM150" s="1"/>
      <c r="EN150" s="1"/>
      <c r="EO150" s="1"/>
      <c r="EP150" s="1"/>
      <c r="EQ150" s="1"/>
      <c r="ER150" s="1"/>
    </row>
    <row r="151" spans="2:148" ht="18" customHeight="1" x14ac:dyDescent="0.25">
      <c r="B151" s="7"/>
      <c r="AN151" s="10"/>
      <c r="AP151" s="9"/>
      <c r="AR151" s="7"/>
      <c r="CD151" s="10"/>
      <c r="CF151" s="9"/>
      <c r="DY151" s="1"/>
      <c r="DZ151" s="1"/>
      <c r="EA151" s="1"/>
      <c r="ED151" s="1"/>
      <c r="EE151" s="1"/>
      <c r="EF151" s="1"/>
      <c r="EG151" s="1"/>
      <c r="EH151" s="1"/>
      <c r="EI151" s="1"/>
      <c r="EJ151" s="1"/>
      <c r="EK151" s="1"/>
      <c r="EL151" s="1"/>
      <c r="EM151" s="1"/>
      <c r="EN151" s="1"/>
      <c r="EO151" s="1"/>
      <c r="EP151" s="1"/>
      <c r="EQ151" s="1"/>
      <c r="ER151" s="1"/>
    </row>
    <row r="152" spans="2:148" ht="18" customHeight="1" thickBot="1" x14ac:dyDescent="0.3">
      <c r="B152" s="7"/>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2"/>
      <c r="AO152" s="11"/>
      <c r="AP152" s="9"/>
      <c r="AR152" s="7"/>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2"/>
      <c r="CE152" s="11"/>
      <c r="CF152" s="9"/>
      <c r="DY152" s="1"/>
      <c r="DZ152" s="1"/>
      <c r="EA152" s="1"/>
      <c r="ED152" s="1"/>
      <c r="EE152" s="1"/>
      <c r="EF152" s="1"/>
      <c r="EG152" s="1"/>
      <c r="EH152" s="1"/>
      <c r="EI152" s="1"/>
      <c r="EJ152" s="1"/>
      <c r="EK152" s="1"/>
      <c r="EL152" s="1"/>
      <c r="EM152" s="1"/>
      <c r="EN152" s="1"/>
      <c r="EO152" s="1"/>
      <c r="EP152" s="1"/>
      <c r="EQ152" s="1"/>
      <c r="ER152" s="1"/>
    </row>
    <row r="153" spans="2:148" ht="18" customHeight="1" x14ac:dyDescent="0.25">
      <c r="B153" s="7"/>
      <c r="AP153" s="9"/>
      <c r="AR153" s="7"/>
      <c r="CF153" s="9"/>
      <c r="DY153" s="1"/>
      <c r="DZ153" s="1"/>
      <c r="EA153" s="1"/>
      <c r="ED153" s="1"/>
      <c r="EE153" s="1"/>
      <c r="EF153" s="1"/>
      <c r="EG153" s="1"/>
      <c r="EH153" s="1"/>
      <c r="EI153" s="1"/>
      <c r="EJ153" s="1"/>
      <c r="EK153" s="1"/>
      <c r="EL153" s="1"/>
      <c r="EM153" s="1"/>
      <c r="EN153" s="1"/>
      <c r="EO153" s="1"/>
      <c r="EP153" s="1"/>
      <c r="EQ153" s="1"/>
      <c r="ER153" s="1"/>
    </row>
    <row r="154" spans="2:148" ht="18" customHeight="1" x14ac:dyDescent="0.25">
      <c r="B154" s="7"/>
      <c r="AP154" s="9"/>
      <c r="AR154" s="7"/>
      <c r="CF154" s="9"/>
      <c r="DY154" s="1"/>
      <c r="DZ154" s="1"/>
      <c r="EA154" s="1"/>
      <c r="ED154" s="1"/>
      <c r="EE154" s="1"/>
      <c r="EF154" s="1"/>
      <c r="EG154" s="1"/>
      <c r="EH154" s="1"/>
      <c r="EI154" s="1"/>
      <c r="EJ154" s="1"/>
      <c r="EK154" s="1"/>
      <c r="EL154" s="1"/>
      <c r="EM154" s="1"/>
      <c r="EN154" s="1"/>
      <c r="EO154" s="1"/>
      <c r="EP154" s="1"/>
      <c r="EQ154" s="1"/>
      <c r="ER154" s="1"/>
    </row>
    <row r="155" spans="2:148" ht="18" customHeight="1" x14ac:dyDescent="0.25">
      <c r="B155" s="7"/>
      <c r="AP155" s="9"/>
      <c r="AR155" s="7"/>
      <c r="CF155" s="9"/>
      <c r="DY155" s="1"/>
      <c r="DZ155" s="1"/>
      <c r="EA155" s="1"/>
      <c r="ED155" s="1"/>
      <c r="EE155" s="1"/>
      <c r="EF155" s="1"/>
      <c r="EG155" s="1"/>
      <c r="EH155" s="1"/>
      <c r="EI155" s="1"/>
      <c r="EJ155" s="1"/>
      <c r="EK155" s="1"/>
      <c r="EL155" s="1"/>
      <c r="EM155" s="1"/>
      <c r="EN155" s="1"/>
      <c r="EO155" s="1"/>
      <c r="EP155" s="1"/>
      <c r="EQ155" s="1"/>
      <c r="ER155" s="1"/>
    </row>
    <row r="156" spans="2:148" ht="18" customHeight="1" x14ac:dyDescent="0.25">
      <c r="B156" s="7"/>
      <c r="AP156" s="9"/>
      <c r="AR156" s="7"/>
      <c r="CF156" s="9"/>
      <c r="DY156" s="1"/>
      <c r="DZ156" s="1"/>
      <c r="EA156" s="1"/>
      <c r="ED156" s="1"/>
      <c r="EE156" s="1"/>
      <c r="EF156" s="1"/>
      <c r="EG156" s="1"/>
      <c r="EH156" s="1"/>
      <c r="EI156" s="1"/>
      <c r="EJ156" s="1"/>
      <c r="EK156" s="1"/>
      <c r="EL156" s="1"/>
      <c r="EM156" s="1"/>
      <c r="EN156" s="1"/>
      <c r="EO156" s="1"/>
      <c r="EP156" s="1"/>
      <c r="EQ156" s="1"/>
      <c r="ER156" s="1"/>
    </row>
    <row r="157" spans="2:148" ht="18" customHeight="1" x14ac:dyDescent="0.25">
      <c r="B157" s="7"/>
      <c r="AP157" s="9"/>
      <c r="AR157" s="7"/>
      <c r="CF157" s="9"/>
      <c r="DY157" s="1"/>
      <c r="DZ157" s="1"/>
      <c r="EA157" s="1"/>
      <c r="ED157" s="1"/>
      <c r="EE157" s="1"/>
      <c r="EF157" s="1"/>
      <c r="EG157" s="1"/>
      <c r="EH157" s="1"/>
      <c r="EI157" s="1"/>
      <c r="EJ157" s="1"/>
      <c r="EK157" s="1"/>
      <c r="EL157" s="1"/>
      <c r="EM157" s="1"/>
      <c r="EN157" s="1"/>
      <c r="EO157" s="1"/>
      <c r="EP157" s="1"/>
      <c r="EQ157" s="1"/>
      <c r="ER157" s="1"/>
    </row>
    <row r="158" spans="2:148" ht="18" customHeight="1" x14ac:dyDescent="0.25">
      <c r="B158" s="7"/>
      <c r="AP158" s="9"/>
      <c r="AR158" s="7"/>
      <c r="CF158" s="9"/>
      <c r="DY158" s="1"/>
      <c r="DZ158" s="1"/>
      <c r="EA158" s="1"/>
      <c r="ED158" s="1"/>
      <c r="EE158" s="1"/>
      <c r="EF158" s="1"/>
      <c r="EG158" s="1"/>
      <c r="EH158" s="1"/>
      <c r="EI158" s="1"/>
      <c r="EJ158" s="1"/>
      <c r="EK158" s="1"/>
      <c r="EL158" s="1"/>
      <c r="EM158" s="1"/>
      <c r="EN158" s="1"/>
      <c r="EO158" s="1"/>
      <c r="EP158" s="1"/>
      <c r="EQ158" s="1"/>
      <c r="ER158" s="1"/>
    </row>
    <row r="159" spans="2:148" ht="18" customHeight="1" x14ac:dyDescent="0.25">
      <c r="B159" s="7"/>
      <c r="AP159" s="9"/>
      <c r="AR159" s="7"/>
      <c r="CF159" s="9"/>
      <c r="DY159" s="1"/>
      <c r="DZ159" s="1"/>
      <c r="EA159" s="1"/>
      <c r="ED159" s="1"/>
      <c r="EE159" s="1"/>
      <c r="EF159" s="1"/>
      <c r="EG159" s="1"/>
      <c r="EH159" s="1"/>
      <c r="EI159" s="1"/>
      <c r="EJ159" s="1"/>
      <c r="EK159" s="1"/>
      <c r="EL159" s="1"/>
      <c r="EM159" s="1"/>
      <c r="EN159" s="1"/>
      <c r="EO159" s="1"/>
      <c r="EP159" s="1"/>
      <c r="EQ159" s="1"/>
      <c r="ER159" s="1"/>
    </row>
    <row r="160" spans="2:148" ht="18" customHeight="1" x14ac:dyDescent="0.25">
      <c r="B160" s="7"/>
      <c r="AP160" s="9"/>
      <c r="AR160" s="7"/>
      <c r="CF160" s="9"/>
      <c r="DY160" s="1"/>
      <c r="DZ160" s="1"/>
      <c r="EA160" s="1"/>
      <c r="ED160" s="1"/>
      <c r="EE160" s="1"/>
      <c r="EF160" s="1"/>
      <c r="EG160" s="1"/>
      <c r="EH160" s="1"/>
      <c r="EI160" s="1"/>
      <c r="EJ160" s="1"/>
      <c r="EK160" s="1"/>
      <c r="EL160" s="1"/>
      <c r="EM160" s="1"/>
      <c r="EN160" s="1"/>
      <c r="EO160" s="1"/>
      <c r="EP160" s="1"/>
      <c r="EQ160" s="1"/>
      <c r="ER160" s="1"/>
    </row>
    <row r="161" spans="2:148" ht="18" customHeight="1" x14ac:dyDescent="0.25">
      <c r="B161" s="7"/>
      <c r="AP161" s="9"/>
      <c r="AR161" s="7"/>
      <c r="CF161" s="9"/>
      <c r="DY161" s="1"/>
      <c r="DZ161" s="1"/>
      <c r="EA161" s="1"/>
      <c r="ED161" s="1"/>
      <c r="EE161" s="1"/>
      <c r="EF161" s="1"/>
      <c r="EG161" s="1"/>
      <c r="EH161" s="1"/>
      <c r="EI161" s="1"/>
      <c r="EJ161" s="1"/>
      <c r="EK161" s="1"/>
      <c r="EL161" s="1"/>
      <c r="EM161" s="1"/>
      <c r="EN161" s="1"/>
      <c r="EO161" s="1"/>
      <c r="EP161" s="1"/>
      <c r="EQ161" s="1"/>
      <c r="ER161" s="1"/>
    </row>
    <row r="162" spans="2:148" ht="18" customHeight="1" x14ac:dyDescent="0.25">
      <c r="B162" s="7"/>
      <c r="AP162" s="9"/>
      <c r="AR162" s="7"/>
      <c r="CF162" s="9"/>
      <c r="DY162" s="1"/>
      <c r="DZ162" s="1"/>
      <c r="EA162" s="1"/>
      <c r="ED162" s="1"/>
      <c r="EE162" s="1"/>
      <c r="EF162" s="1"/>
      <c r="EG162" s="1"/>
      <c r="EH162" s="1"/>
      <c r="EI162" s="1"/>
      <c r="EJ162" s="1"/>
      <c r="EK162" s="1"/>
      <c r="EL162" s="1"/>
      <c r="EM162" s="1"/>
      <c r="EN162" s="1"/>
      <c r="EO162" s="1"/>
      <c r="EP162" s="1"/>
      <c r="EQ162" s="1"/>
      <c r="ER162" s="1"/>
    </row>
    <row r="163" spans="2:148" ht="18" customHeight="1" x14ac:dyDescent="0.25">
      <c r="B163" s="7"/>
      <c r="AP163" s="9"/>
      <c r="AR163" s="7"/>
      <c r="CF163" s="9"/>
      <c r="DY163" s="1"/>
      <c r="DZ163" s="1"/>
      <c r="EA163" s="1"/>
      <c r="ED163" s="1"/>
      <c r="EE163" s="1"/>
      <c r="EF163" s="1"/>
      <c r="EG163" s="1"/>
      <c r="EH163" s="1"/>
      <c r="EI163" s="1"/>
      <c r="EJ163" s="1"/>
      <c r="EK163" s="1"/>
      <c r="EL163" s="1"/>
      <c r="EM163" s="1"/>
      <c r="EN163" s="1"/>
      <c r="EO163" s="1"/>
      <c r="EP163" s="1"/>
      <c r="EQ163" s="1"/>
      <c r="ER163" s="1"/>
    </row>
    <row r="164" spans="2:148" ht="18" customHeight="1" x14ac:dyDescent="0.25">
      <c r="B164" s="7"/>
      <c r="AP164" s="9"/>
      <c r="AR164" s="7"/>
      <c r="CF164" s="9"/>
      <c r="DY164" s="1"/>
      <c r="DZ164" s="1"/>
      <c r="EA164" s="1"/>
      <c r="ED164" s="1"/>
      <c r="EE164" s="1"/>
      <c r="EF164" s="1"/>
      <c r="EG164" s="1"/>
      <c r="EH164" s="1"/>
      <c r="EI164" s="1"/>
      <c r="EJ164" s="1"/>
      <c r="EK164" s="1"/>
      <c r="EL164" s="1"/>
      <c r="EM164" s="1"/>
      <c r="EN164" s="1"/>
      <c r="EO164" s="1"/>
      <c r="EP164" s="1"/>
      <c r="EQ164" s="1"/>
      <c r="ER164" s="1"/>
    </row>
    <row r="165" spans="2:148" ht="18" customHeight="1" x14ac:dyDescent="0.25">
      <c r="B165" s="7"/>
      <c r="AP165" s="9"/>
      <c r="AR165" s="7"/>
      <c r="CF165" s="9"/>
      <c r="DY165" s="1"/>
      <c r="DZ165" s="1"/>
      <c r="EA165" s="1"/>
      <c r="ED165" s="1"/>
      <c r="EE165" s="1"/>
      <c r="EF165" s="1"/>
      <c r="EG165" s="1"/>
      <c r="EH165" s="1"/>
      <c r="EI165" s="1"/>
      <c r="EJ165" s="1"/>
      <c r="EK165" s="1"/>
      <c r="EL165" s="1"/>
      <c r="EM165" s="1"/>
      <c r="EN165" s="1"/>
      <c r="EO165" s="1"/>
      <c r="EP165" s="1"/>
      <c r="EQ165" s="1"/>
      <c r="ER165" s="1"/>
    </row>
    <row r="166" spans="2:148" ht="18" customHeight="1" x14ac:dyDescent="0.25">
      <c r="B166" s="7"/>
      <c r="AP166" s="9"/>
      <c r="AR166" s="7"/>
      <c r="CF166" s="9"/>
      <c r="DY166" s="1"/>
      <c r="DZ166" s="1"/>
      <c r="EA166" s="1"/>
      <c r="ED166" s="1"/>
      <c r="EE166" s="1"/>
      <c r="EF166" s="1"/>
      <c r="EG166" s="1"/>
      <c r="EH166" s="1"/>
      <c r="EI166" s="1"/>
      <c r="EJ166" s="1"/>
      <c r="EK166" s="1"/>
      <c r="EL166" s="1"/>
      <c r="EM166" s="1"/>
      <c r="EN166" s="1"/>
      <c r="EO166" s="1"/>
      <c r="EP166" s="1"/>
      <c r="EQ166" s="1"/>
      <c r="ER166" s="1"/>
    </row>
    <row r="167" spans="2:148" ht="18" customHeight="1" x14ac:dyDescent="0.25">
      <c r="B167" s="7"/>
      <c r="AP167" s="9"/>
      <c r="AR167" s="7"/>
      <c r="CF167" s="9"/>
      <c r="DY167" s="1"/>
      <c r="DZ167" s="1"/>
      <c r="EA167" s="1"/>
      <c r="ED167" s="1"/>
      <c r="EE167" s="1"/>
      <c r="EF167" s="1"/>
      <c r="EG167" s="1"/>
      <c r="EH167" s="1"/>
      <c r="EI167" s="1"/>
      <c r="EJ167" s="1"/>
      <c r="EK167" s="1"/>
      <c r="EL167" s="1"/>
      <c r="EM167" s="1"/>
      <c r="EN167" s="1"/>
      <c r="EO167" s="1"/>
      <c r="EP167" s="1"/>
      <c r="EQ167" s="1"/>
      <c r="ER167" s="1"/>
    </row>
    <row r="168" spans="2:148" ht="18" customHeight="1" x14ac:dyDescent="0.25">
      <c r="B168" s="7"/>
      <c r="AP168" s="9"/>
      <c r="AR168" s="7"/>
      <c r="CF168" s="9"/>
      <c r="DY168" s="1"/>
      <c r="DZ168" s="1"/>
      <c r="EA168" s="1"/>
      <c r="ED168" s="1"/>
      <c r="EE168" s="1"/>
      <c r="EF168" s="1"/>
      <c r="EG168" s="1"/>
      <c r="EH168" s="1"/>
      <c r="EI168" s="1"/>
      <c r="EJ168" s="1"/>
      <c r="EK168" s="1"/>
      <c r="EL168" s="1"/>
      <c r="EM168" s="1"/>
      <c r="EN168" s="1"/>
      <c r="EO168" s="1"/>
      <c r="EP168" s="1"/>
      <c r="EQ168" s="1"/>
      <c r="ER168" s="1"/>
    </row>
    <row r="169" spans="2:148" ht="18" customHeight="1" x14ac:dyDescent="0.25">
      <c r="B169" s="7"/>
      <c r="AP169" s="9"/>
      <c r="AR169" s="7"/>
      <c r="CF169" s="9"/>
      <c r="DY169" s="1"/>
      <c r="DZ169" s="1"/>
      <c r="EA169" s="1"/>
      <c r="ED169" s="1"/>
      <c r="EE169" s="1"/>
      <c r="EF169" s="1"/>
      <c r="EG169" s="1"/>
      <c r="EH169" s="1"/>
      <c r="EI169" s="1"/>
      <c r="EJ169" s="1"/>
      <c r="EK169" s="1"/>
      <c r="EL169" s="1"/>
      <c r="EM169" s="1"/>
      <c r="EN169" s="1"/>
      <c r="EO169" s="1"/>
      <c r="EP169" s="1"/>
      <c r="EQ169" s="1"/>
      <c r="ER169" s="1"/>
    </row>
    <row r="170" spans="2:148" ht="18" customHeight="1" x14ac:dyDescent="0.25">
      <c r="B170" s="7"/>
      <c r="AP170" s="9"/>
      <c r="AR170" s="7"/>
      <c r="CF170" s="9"/>
      <c r="DY170" s="1"/>
      <c r="DZ170" s="1"/>
      <c r="EA170" s="1"/>
      <c r="ED170" s="1"/>
      <c r="EE170" s="1"/>
      <c r="EF170" s="1"/>
      <c r="EG170" s="1"/>
      <c r="EH170" s="1"/>
      <c r="EI170" s="1"/>
      <c r="EJ170" s="1"/>
      <c r="EK170" s="1"/>
      <c r="EL170" s="1"/>
      <c r="EM170" s="1"/>
      <c r="EN170" s="1"/>
      <c r="EO170" s="1"/>
      <c r="EP170" s="1"/>
      <c r="EQ170" s="1"/>
      <c r="ER170" s="1"/>
    </row>
    <row r="171" spans="2:148" ht="18" customHeight="1" x14ac:dyDescent="0.25">
      <c r="B171" s="7"/>
      <c r="AP171" s="9"/>
      <c r="AR171" s="7"/>
      <c r="CF171" s="9"/>
      <c r="DY171" s="1"/>
      <c r="DZ171" s="1"/>
      <c r="EA171" s="1"/>
      <c r="ED171" s="1"/>
      <c r="EE171" s="1"/>
      <c r="EF171" s="1"/>
      <c r="EG171" s="1"/>
      <c r="EH171" s="1"/>
      <c r="EI171" s="1"/>
      <c r="EJ171" s="1"/>
      <c r="EK171" s="1"/>
      <c r="EL171" s="1"/>
      <c r="EM171" s="1"/>
      <c r="EN171" s="1"/>
      <c r="EO171" s="1"/>
      <c r="EP171" s="1"/>
      <c r="EQ171" s="1"/>
      <c r="ER171" s="1"/>
    </row>
    <row r="172" spans="2:148" ht="18" customHeight="1" x14ac:dyDescent="0.25">
      <c r="B172" s="7"/>
      <c r="AP172" s="9"/>
      <c r="AR172" s="7"/>
      <c r="CF172" s="9"/>
      <c r="DY172" s="1"/>
      <c r="DZ172" s="1"/>
      <c r="EA172" s="1"/>
      <c r="ED172" s="1"/>
      <c r="EE172" s="1"/>
      <c r="EF172" s="1"/>
      <c r="EG172" s="1"/>
      <c r="EH172" s="1"/>
      <c r="EI172" s="1"/>
      <c r="EJ172" s="1"/>
      <c r="EK172" s="1"/>
      <c r="EL172" s="1"/>
      <c r="EM172" s="1"/>
      <c r="EN172" s="1"/>
      <c r="EO172" s="1"/>
      <c r="EP172" s="1"/>
      <c r="EQ172" s="1"/>
      <c r="ER172" s="1"/>
    </row>
    <row r="173" spans="2:148" ht="18" customHeight="1" x14ac:dyDescent="0.25">
      <c r="B173" s="7"/>
      <c r="AP173" s="9"/>
      <c r="AR173" s="7"/>
      <c r="CF173" s="9"/>
      <c r="DY173" s="1"/>
      <c r="DZ173" s="1"/>
      <c r="EA173" s="1"/>
      <c r="ED173" s="1"/>
      <c r="EE173" s="1"/>
      <c r="EF173" s="1"/>
      <c r="EG173" s="1"/>
      <c r="EH173" s="1"/>
      <c r="EI173" s="1"/>
      <c r="EJ173" s="1"/>
      <c r="EK173" s="1"/>
      <c r="EL173" s="1"/>
      <c r="EM173" s="1"/>
      <c r="EN173" s="1"/>
      <c r="EO173" s="1"/>
      <c r="EP173" s="1"/>
      <c r="EQ173" s="1"/>
      <c r="ER173" s="1"/>
    </row>
    <row r="174" spans="2:148" ht="18" customHeight="1" x14ac:dyDescent="0.25">
      <c r="B174" s="7"/>
      <c r="AP174" s="9"/>
      <c r="AR174" s="7"/>
      <c r="CF174" s="9"/>
      <c r="DY174" s="1"/>
      <c r="DZ174" s="1"/>
      <c r="EA174" s="1"/>
      <c r="ED174" s="1"/>
      <c r="EE174" s="1"/>
      <c r="EF174" s="1"/>
      <c r="EG174" s="1"/>
      <c r="EH174" s="1"/>
      <c r="EI174" s="1"/>
      <c r="EJ174" s="1"/>
      <c r="EK174" s="1"/>
      <c r="EL174" s="1"/>
      <c r="EM174" s="1"/>
      <c r="EN174" s="1"/>
      <c r="EO174" s="1"/>
      <c r="EP174" s="1"/>
      <c r="EQ174" s="1"/>
      <c r="ER174" s="1"/>
    </row>
    <row r="175" spans="2:148" ht="18" customHeight="1" x14ac:dyDescent="0.25">
      <c r="B175" s="7"/>
      <c r="AP175" s="9"/>
      <c r="AR175" s="7"/>
      <c r="CF175" s="9"/>
      <c r="DY175" s="1"/>
      <c r="DZ175" s="1"/>
      <c r="EA175" s="1"/>
      <c r="ED175" s="1"/>
      <c r="EE175" s="1"/>
      <c r="EF175" s="1"/>
      <c r="EG175" s="1"/>
      <c r="EH175" s="1"/>
      <c r="EI175" s="1"/>
      <c r="EJ175" s="1"/>
      <c r="EK175" s="1"/>
      <c r="EL175" s="1"/>
      <c r="EM175" s="1"/>
      <c r="EN175" s="1"/>
      <c r="EO175" s="1"/>
      <c r="EP175" s="1"/>
      <c r="EQ175" s="1"/>
      <c r="ER175" s="1"/>
    </row>
    <row r="176" spans="2:148" ht="18" customHeight="1" x14ac:dyDescent="0.25">
      <c r="B176" s="7"/>
      <c r="AP176" s="9"/>
      <c r="AR176" s="7"/>
      <c r="CF176" s="9"/>
      <c r="DY176" s="1"/>
      <c r="DZ176" s="1"/>
      <c r="EA176" s="1"/>
      <c r="ED176" s="1"/>
      <c r="EE176" s="1"/>
      <c r="EF176" s="1"/>
      <c r="EG176" s="1"/>
      <c r="EH176" s="1"/>
      <c r="EI176" s="1"/>
      <c r="EJ176" s="1"/>
      <c r="EK176" s="1"/>
      <c r="EL176" s="1"/>
      <c r="EM176" s="1"/>
      <c r="EN176" s="1"/>
      <c r="EO176" s="1"/>
      <c r="EP176" s="1"/>
      <c r="EQ176" s="1"/>
      <c r="ER176" s="1"/>
    </row>
    <row r="177" spans="2:148" ht="18" customHeight="1" x14ac:dyDescent="0.25">
      <c r="B177" s="7"/>
      <c r="AP177" s="9"/>
      <c r="AR177" s="7"/>
      <c r="CF177" s="9"/>
      <c r="DY177" s="1"/>
      <c r="DZ177" s="1"/>
      <c r="EA177" s="1"/>
      <c r="ED177" s="1"/>
      <c r="EE177" s="1"/>
      <c r="EF177" s="1"/>
      <c r="EG177" s="1"/>
      <c r="EH177" s="1"/>
      <c r="EI177" s="1"/>
      <c r="EJ177" s="1"/>
      <c r="EK177" s="1"/>
      <c r="EL177" s="1"/>
      <c r="EM177" s="1"/>
      <c r="EN177" s="1"/>
      <c r="EO177" s="1"/>
      <c r="EP177" s="1"/>
      <c r="EQ177" s="1"/>
      <c r="ER177" s="1"/>
    </row>
    <row r="178" spans="2:148" ht="18" customHeight="1" x14ac:dyDescent="0.25">
      <c r="B178" s="7"/>
      <c r="AP178" s="9"/>
      <c r="AR178" s="7"/>
      <c r="CF178" s="9"/>
      <c r="DY178" s="1"/>
      <c r="DZ178" s="1"/>
      <c r="EA178" s="1"/>
      <c r="ED178" s="1"/>
      <c r="EE178" s="1"/>
      <c r="EF178" s="1"/>
      <c r="EG178" s="1"/>
      <c r="EH178" s="1"/>
      <c r="EI178" s="1"/>
      <c r="EJ178" s="1"/>
      <c r="EK178" s="1"/>
      <c r="EL178" s="1"/>
      <c r="EM178" s="1"/>
      <c r="EN178" s="1"/>
      <c r="EO178" s="1"/>
      <c r="EP178" s="1"/>
      <c r="EQ178" s="1"/>
      <c r="ER178" s="1"/>
    </row>
    <row r="179" spans="2:148" ht="18" customHeight="1" x14ac:dyDescent="0.25">
      <c r="B179" s="7"/>
      <c r="AP179" s="9"/>
      <c r="AR179" s="7"/>
      <c r="CF179" s="9"/>
      <c r="DY179" s="1"/>
      <c r="DZ179" s="1"/>
      <c r="EA179" s="1"/>
      <c r="ED179" s="1"/>
      <c r="EE179" s="1"/>
      <c r="EF179" s="1"/>
      <c r="EG179" s="1"/>
      <c r="EH179" s="1"/>
      <c r="EI179" s="1"/>
      <c r="EJ179" s="1"/>
      <c r="EK179" s="1"/>
      <c r="EL179" s="1"/>
      <c r="EM179" s="1"/>
      <c r="EN179" s="1"/>
      <c r="EO179" s="1"/>
      <c r="EP179" s="1"/>
      <c r="EQ179" s="1"/>
      <c r="ER179" s="1"/>
    </row>
    <row r="180" spans="2:148" ht="18" customHeight="1" x14ac:dyDescent="0.25">
      <c r="B180" s="7"/>
      <c r="AP180" s="9"/>
      <c r="AR180" s="7"/>
      <c r="CF180" s="9"/>
      <c r="DY180" s="1"/>
      <c r="DZ180" s="1"/>
      <c r="EA180" s="1"/>
      <c r="ED180" s="1"/>
      <c r="EE180" s="1"/>
      <c r="EF180" s="1"/>
      <c r="EG180" s="1"/>
      <c r="EH180" s="1"/>
      <c r="EI180" s="1"/>
      <c r="EJ180" s="1"/>
      <c r="EK180" s="1"/>
      <c r="EL180" s="1"/>
      <c r="EM180" s="1"/>
      <c r="EN180" s="1"/>
      <c r="EO180" s="1"/>
      <c r="EP180" s="1"/>
      <c r="EQ180" s="1"/>
      <c r="ER180" s="1"/>
    </row>
    <row r="181" spans="2:148" ht="18" customHeight="1" x14ac:dyDescent="0.25">
      <c r="B181" s="7"/>
      <c r="AP181" s="9"/>
      <c r="AR181" s="7"/>
      <c r="CF181" s="9"/>
      <c r="DY181" s="1"/>
      <c r="DZ181" s="1"/>
      <c r="EA181" s="1"/>
      <c r="ED181" s="1"/>
      <c r="EE181" s="1"/>
      <c r="EF181" s="1"/>
      <c r="EG181" s="1"/>
      <c r="EH181" s="1"/>
      <c r="EI181" s="1"/>
      <c r="EJ181" s="1"/>
      <c r="EK181" s="1"/>
      <c r="EL181" s="1"/>
      <c r="EM181" s="1"/>
      <c r="EN181" s="1"/>
      <c r="EO181" s="1"/>
      <c r="EP181" s="1"/>
      <c r="EQ181" s="1"/>
      <c r="ER181" s="1"/>
    </row>
    <row r="182" spans="2:148" ht="18" customHeight="1" x14ac:dyDescent="0.25">
      <c r="B182" s="7"/>
      <c r="AP182" s="9"/>
      <c r="AR182" s="7"/>
      <c r="CF182" s="9"/>
      <c r="DY182" s="1"/>
      <c r="DZ182" s="1"/>
      <c r="EA182" s="1"/>
      <c r="ED182" s="1"/>
      <c r="EE182" s="1"/>
      <c r="EF182" s="1"/>
      <c r="EG182" s="1"/>
      <c r="EH182" s="1"/>
      <c r="EI182" s="1"/>
      <c r="EJ182" s="1"/>
      <c r="EK182" s="1"/>
      <c r="EL182" s="1"/>
      <c r="EM182" s="1"/>
      <c r="EN182" s="1"/>
      <c r="EO182" s="1"/>
      <c r="EP182" s="1"/>
      <c r="EQ182" s="1"/>
      <c r="ER182" s="1"/>
    </row>
    <row r="183" spans="2:148" ht="18" customHeight="1" x14ac:dyDescent="0.25">
      <c r="B183" s="7"/>
      <c r="AP183" s="9"/>
      <c r="AR183" s="7"/>
      <c r="CF183" s="9"/>
      <c r="DY183" s="1"/>
      <c r="DZ183" s="1"/>
      <c r="EA183" s="1"/>
      <c r="ED183" s="1"/>
      <c r="EE183" s="1"/>
      <c r="EF183" s="1"/>
      <c r="EG183" s="1"/>
      <c r="EH183" s="1"/>
      <c r="EI183" s="1"/>
      <c r="EJ183" s="1"/>
      <c r="EK183" s="1"/>
      <c r="EL183" s="1"/>
      <c r="EM183" s="1"/>
      <c r="EN183" s="1"/>
      <c r="EO183" s="1"/>
      <c r="EP183" s="1"/>
      <c r="EQ183" s="1"/>
      <c r="ER183" s="1"/>
    </row>
    <row r="184" spans="2:148" ht="18" customHeight="1" x14ac:dyDescent="0.25">
      <c r="B184" s="7"/>
      <c r="AP184" s="9"/>
      <c r="AR184" s="7"/>
      <c r="CF184" s="9"/>
      <c r="DY184" s="1"/>
      <c r="DZ184" s="1"/>
      <c r="EA184" s="1"/>
      <c r="ED184" s="1"/>
      <c r="EE184" s="1"/>
      <c r="EF184" s="1"/>
      <c r="EG184" s="1"/>
      <c r="EH184" s="1"/>
      <c r="EI184" s="1"/>
      <c r="EJ184" s="1"/>
      <c r="EK184" s="1"/>
      <c r="EL184" s="1"/>
      <c r="EM184" s="1"/>
      <c r="EN184" s="1"/>
      <c r="EO184" s="1"/>
      <c r="EP184" s="1"/>
      <c r="EQ184" s="1"/>
      <c r="ER184" s="1"/>
    </row>
    <row r="185" spans="2:148" ht="18" customHeight="1" x14ac:dyDescent="0.25">
      <c r="B185" s="7"/>
      <c r="AP185" s="9"/>
      <c r="AR185" s="7"/>
      <c r="CF185" s="9"/>
      <c r="DY185" s="1"/>
      <c r="DZ185" s="1"/>
      <c r="EA185" s="1"/>
      <c r="ED185" s="1"/>
      <c r="EE185" s="1"/>
      <c r="EF185" s="1"/>
      <c r="EG185" s="1"/>
      <c r="EH185" s="1"/>
      <c r="EI185" s="1"/>
      <c r="EJ185" s="1"/>
      <c r="EK185" s="1"/>
      <c r="EL185" s="1"/>
      <c r="EM185" s="1"/>
      <c r="EN185" s="1"/>
      <c r="EO185" s="1"/>
      <c r="EP185" s="1"/>
      <c r="EQ185" s="1"/>
      <c r="ER185" s="1"/>
    </row>
    <row r="186" spans="2:148" ht="18" customHeight="1" x14ac:dyDescent="0.25">
      <c r="B186" s="7"/>
      <c r="AP186" s="9"/>
      <c r="AR186" s="7"/>
      <c r="CF186" s="9"/>
      <c r="DY186" s="1"/>
      <c r="DZ186" s="1"/>
      <c r="EA186" s="1"/>
      <c r="ED186" s="1"/>
      <c r="EE186" s="1"/>
      <c r="EF186" s="1"/>
      <c r="EG186" s="1"/>
      <c r="EH186" s="1"/>
      <c r="EI186" s="1"/>
      <c r="EJ186" s="1"/>
      <c r="EK186" s="1"/>
      <c r="EL186" s="1"/>
      <c r="EM186" s="1"/>
      <c r="EN186" s="1"/>
      <c r="EO186" s="1"/>
      <c r="EP186" s="1"/>
      <c r="EQ186" s="1"/>
      <c r="ER186" s="1"/>
    </row>
    <row r="187" spans="2:148" ht="18" customHeight="1" x14ac:dyDescent="0.25">
      <c r="B187" s="7"/>
      <c r="AP187" s="9"/>
      <c r="AR187" s="7"/>
      <c r="CF187" s="9"/>
      <c r="DY187" s="1"/>
      <c r="DZ187" s="1"/>
      <c r="EA187" s="1"/>
      <c r="ED187" s="1"/>
      <c r="EE187" s="1"/>
      <c r="EF187" s="1"/>
      <c r="EG187" s="1"/>
      <c r="EH187" s="1"/>
      <c r="EI187" s="1"/>
      <c r="EJ187" s="1"/>
      <c r="EK187" s="1"/>
      <c r="EL187" s="1"/>
      <c r="EM187" s="1"/>
      <c r="EN187" s="1"/>
      <c r="EO187" s="1"/>
      <c r="EP187" s="1"/>
      <c r="EQ187" s="1"/>
      <c r="ER187" s="1"/>
    </row>
    <row r="188" spans="2:148" ht="18" customHeight="1" x14ac:dyDescent="0.25">
      <c r="B188" s="7"/>
      <c r="AP188" s="9"/>
      <c r="AR188" s="7"/>
      <c r="CF188" s="9"/>
      <c r="DY188" s="1"/>
      <c r="DZ188" s="1"/>
      <c r="EA188" s="1"/>
      <c r="ED188" s="1"/>
      <c r="EE188" s="1"/>
      <c r="EF188" s="1"/>
      <c r="EG188" s="1"/>
      <c r="EH188" s="1"/>
      <c r="EI188" s="1"/>
      <c r="EJ188" s="1"/>
      <c r="EK188" s="1"/>
      <c r="EL188" s="1"/>
      <c r="EM188" s="1"/>
      <c r="EN188" s="1"/>
      <c r="EO188" s="1"/>
      <c r="EP188" s="1"/>
      <c r="EQ188" s="1"/>
      <c r="ER188" s="1"/>
    </row>
    <row r="189" spans="2:148" ht="18" customHeight="1" x14ac:dyDescent="0.25">
      <c r="B189" s="7"/>
      <c r="AP189" s="9"/>
      <c r="AR189" s="7"/>
      <c r="CF189" s="9"/>
      <c r="DY189" s="1"/>
      <c r="DZ189" s="1"/>
      <c r="EA189" s="1"/>
      <c r="ED189" s="1"/>
      <c r="EE189" s="1"/>
      <c r="EF189" s="1"/>
      <c r="EG189" s="1"/>
      <c r="EH189" s="1"/>
      <c r="EI189" s="1"/>
      <c r="EJ189" s="1"/>
      <c r="EK189" s="1"/>
      <c r="EL189" s="1"/>
      <c r="EM189" s="1"/>
      <c r="EN189" s="1"/>
      <c r="EO189" s="1"/>
      <c r="EP189" s="1"/>
      <c r="EQ189" s="1"/>
      <c r="ER189" s="1"/>
    </row>
    <row r="190" spans="2:148" ht="18" customHeight="1" x14ac:dyDescent="0.25">
      <c r="B190" s="7"/>
      <c r="AP190" s="9"/>
      <c r="AR190" s="7"/>
      <c r="CF190" s="9"/>
      <c r="DY190" s="1"/>
      <c r="DZ190" s="1"/>
      <c r="EA190" s="1"/>
      <c r="ED190" s="1"/>
      <c r="EE190" s="1"/>
      <c r="EF190" s="1"/>
      <c r="EG190" s="1"/>
      <c r="EH190" s="1"/>
      <c r="EI190" s="1"/>
      <c r="EJ190" s="1"/>
      <c r="EK190" s="1"/>
      <c r="EL190" s="1"/>
      <c r="EM190" s="1"/>
      <c r="EN190" s="1"/>
      <c r="EO190" s="1"/>
      <c r="EP190" s="1"/>
      <c r="EQ190" s="1"/>
      <c r="ER190" s="1"/>
    </row>
    <row r="191" spans="2:148" ht="18" customHeight="1" x14ac:dyDescent="0.25">
      <c r="B191" s="7"/>
      <c r="AP191" s="9"/>
      <c r="AR191" s="7"/>
      <c r="CF191" s="9"/>
      <c r="DY191" s="1"/>
      <c r="DZ191" s="1"/>
      <c r="EA191" s="1"/>
      <c r="ED191" s="1"/>
      <c r="EE191" s="1"/>
      <c r="EF191" s="1"/>
      <c r="EG191" s="1"/>
      <c r="EH191" s="1"/>
      <c r="EI191" s="1"/>
      <c r="EJ191" s="1"/>
      <c r="EK191" s="1"/>
      <c r="EL191" s="1"/>
      <c r="EM191" s="1"/>
      <c r="EN191" s="1"/>
      <c r="EO191" s="1"/>
      <c r="EP191" s="1"/>
      <c r="EQ191" s="1"/>
      <c r="ER191" s="1"/>
    </row>
    <row r="192" spans="2:148" ht="18" customHeight="1" x14ac:dyDescent="0.25">
      <c r="B192" s="7"/>
      <c r="AP192" s="9"/>
      <c r="AR192" s="7"/>
      <c r="CF192" s="9"/>
      <c r="DY192" s="1"/>
      <c r="DZ192" s="1"/>
      <c r="EA192" s="1"/>
      <c r="ED192" s="1"/>
      <c r="EE192" s="1"/>
      <c r="EF192" s="1"/>
      <c r="EG192" s="1"/>
      <c r="EH192" s="1"/>
      <c r="EI192" s="1"/>
      <c r="EJ192" s="1"/>
      <c r="EK192" s="1"/>
      <c r="EL192" s="1"/>
      <c r="EM192" s="1"/>
      <c r="EN192" s="1"/>
      <c r="EO192" s="1"/>
      <c r="EP192" s="1"/>
      <c r="EQ192" s="1"/>
      <c r="ER192" s="1"/>
    </row>
    <row r="193" spans="2:148" ht="18" customHeight="1" x14ac:dyDescent="0.25">
      <c r="B193" s="7"/>
      <c r="AP193" s="9"/>
      <c r="AR193" s="7"/>
      <c r="CF193" s="9"/>
      <c r="DY193" s="1"/>
      <c r="DZ193" s="1"/>
      <c r="EA193" s="1"/>
      <c r="ED193" s="1"/>
      <c r="EE193" s="1"/>
      <c r="EF193" s="1"/>
      <c r="EG193" s="1"/>
      <c r="EH193" s="1"/>
      <c r="EI193" s="1"/>
      <c r="EJ193" s="1"/>
      <c r="EK193" s="1"/>
      <c r="EL193" s="1"/>
      <c r="EM193" s="1"/>
      <c r="EN193" s="1"/>
      <c r="EO193" s="1"/>
      <c r="EP193" s="1"/>
      <c r="EQ193" s="1"/>
      <c r="ER193" s="1"/>
    </row>
    <row r="194" spans="2:148" ht="18" customHeight="1" thickBot="1" x14ac:dyDescent="0.3">
      <c r="B194" s="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2"/>
      <c r="AO194" s="11"/>
      <c r="AP194" s="9"/>
      <c r="AR194" s="7"/>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2"/>
      <c r="CE194" s="11"/>
      <c r="CF194" s="9"/>
      <c r="DY194" s="1"/>
      <c r="DZ194" s="1"/>
      <c r="EA194" s="1"/>
      <c r="ED194" s="1"/>
      <c r="EE194" s="1"/>
      <c r="EF194" s="1"/>
      <c r="EG194" s="1"/>
      <c r="EH194" s="1"/>
      <c r="EI194" s="1"/>
      <c r="EJ194" s="1"/>
      <c r="EK194" s="1"/>
      <c r="EL194" s="1"/>
      <c r="EM194" s="1"/>
      <c r="EN194" s="1"/>
      <c r="EO194" s="1"/>
      <c r="EP194" s="1"/>
      <c r="EQ194" s="1"/>
      <c r="ER194" s="1"/>
    </row>
    <row r="195" spans="2:148" ht="18" customHeight="1" x14ac:dyDescent="0.25">
      <c r="B195" s="7"/>
      <c r="D195" s="43" t="s">
        <v>86</v>
      </c>
      <c r="AO195" s="19" t="s">
        <v>109</v>
      </c>
      <c r="AP195" s="9"/>
      <c r="AR195" s="7"/>
      <c r="AT195" s="43" t="s">
        <v>86</v>
      </c>
      <c r="CE195" s="19" t="s">
        <v>110</v>
      </c>
      <c r="CF195" s="9"/>
      <c r="DY195" s="1"/>
      <c r="DZ195" s="1"/>
      <c r="EA195" s="1"/>
      <c r="ED195" s="1"/>
      <c r="EE195" s="1"/>
      <c r="EF195" s="1"/>
      <c r="EG195" s="1"/>
      <c r="EH195" s="1"/>
      <c r="EI195" s="1"/>
      <c r="EJ195" s="1"/>
      <c r="EK195" s="1"/>
      <c r="EL195" s="1"/>
      <c r="EM195" s="1"/>
      <c r="EN195" s="1"/>
      <c r="EO195" s="1"/>
      <c r="EP195" s="1"/>
      <c r="EQ195" s="1"/>
      <c r="ER195" s="1"/>
    </row>
    <row r="196" spans="2:148" ht="18" customHeight="1" x14ac:dyDescent="0.25">
      <c r="B196" s="44"/>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6"/>
      <c r="AR196" s="44"/>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6"/>
      <c r="DY196" s="1"/>
      <c r="DZ196" s="1"/>
      <c r="EA196" s="1"/>
      <c r="ED196" s="1"/>
      <c r="EE196" s="1"/>
      <c r="EF196" s="1"/>
      <c r="EG196" s="1"/>
      <c r="EH196" s="1"/>
      <c r="EI196" s="1"/>
      <c r="EJ196" s="1"/>
      <c r="EK196" s="1"/>
      <c r="EL196" s="1"/>
      <c r="EM196" s="1"/>
      <c r="EN196" s="1"/>
      <c r="EO196" s="1"/>
      <c r="EP196" s="1"/>
      <c r="EQ196" s="1"/>
      <c r="ER196" s="1"/>
    </row>
    <row r="197" spans="2:148" ht="18" customHeight="1" x14ac:dyDescent="0.25">
      <c r="DY197" s="1"/>
      <c r="DZ197" s="1"/>
      <c r="EA197" s="1"/>
      <c r="ED197" s="1"/>
      <c r="EE197" s="1"/>
      <c r="EF197" s="1"/>
      <c r="EG197" s="1"/>
      <c r="EH197" s="1"/>
      <c r="EI197" s="1"/>
      <c r="EJ197" s="1"/>
      <c r="EK197" s="1"/>
      <c r="EL197" s="1"/>
      <c r="EM197" s="1"/>
      <c r="EN197" s="1"/>
      <c r="EO197" s="1"/>
      <c r="EP197" s="1"/>
      <c r="EQ197" s="1"/>
      <c r="ER197" s="1"/>
    </row>
    <row r="198" spans="2:148" ht="18" customHeight="1" x14ac:dyDescent="0.25">
      <c r="DY198" s="1"/>
      <c r="DZ198" s="1"/>
      <c r="EA198" s="1"/>
      <c r="ED198" s="1"/>
      <c r="EE198" s="1"/>
      <c r="EF198" s="1"/>
      <c r="EG198" s="1"/>
      <c r="EH198" s="1"/>
      <c r="EI198" s="1"/>
      <c r="EJ198" s="1"/>
      <c r="EK198" s="1"/>
      <c r="EL198" s="1"/>
      <c r="EM198" s="1"/>
      <c r="EN198" s="1"/>
      <c r="EO198" s="1"/>
      <c r="EP198" s="1"/>
      <c r="EQ198" s="1"/>
      <c r="ER198" s="1"/>
    </row>
    <row r="199" spans="2:148" x14ac:dyDescent="0.25">
      <c r="DY199" s="1"/>
      <c r="DZ199" s="1"/>
      <c r="EA199" s="1"/>
      <c r="ED199" s="1"/>
      <c r="EE199" s="1"/>
      <c r="EF199" s="1"/>
      <c r="EG199" s="1"/>
      <c r="EH199" s="1"/>
      <c r="EI199" s="1"/>
      <c r="EJ199" s="1"/>
      <c r="EK199" s="1"/>
      <c r="EL199" s="1"/>
      <c r="EM199" s="1"/>
      <c r="EN199" s="1"/>
      <c r="EO199" s="1"/>
      <c r="EP199" s="1"/>
      <c r="EQ199" s="1"/>
      <c r="ER199" s="1"/>
    </row>
    <row r="200" spans="2:148" x14ac:dyDescent="0.25">
      <c r="DY200" s="1"/>
      <c r="DZ200" s="1"/>
      <c r="EA200" s="1"/>
      <c r="ED200" s="1"/>
      <c r="EE200" s="1"/>
      <c r="EF200" s="1"/>
      <c r="EG200" s="1"/>
      <c r="EH200" s="1"/>
      <c r="EI200" s="1"/>
      <c r="EJ200" s="1"/>
      <c r="EK200" s="1"/>
      <c r="EL200" s="1"/>
      <c r="EM200" s="1"/>
      <c r="EN200" s="1"/>
      <c r="EO200" s="1"/>
      <c r="EP200" s="1"/>
      <c r="EQ200" s="1"/>
      <c r="ER200" s="1"/>
    </row>
    <row r="201" spans="2:148" x14ac:dyDescent="0.25">
      <c r="DY201" s="1"/>
      <c r="DZ201" s="1"/>
      <c r="EA201" s="1"/>
      <c r="ED201" s="1"/>
      <c r="EE201" s="1"/>
      <c r="EF201" s="1"/>
      <c r="EG201" s="1"/>
      <c r="EH201" s="1"/>
      <c r="EI201" s="1"/>
      <c r="EJ201" s="1"/>
      <c r="EK201" s="1"/>
      <c r="EL201" s="1"/>
      <c r="EM201" s="1"/>
      <c r="EN201" s="1"/>
      <c r="EO201" s="1"/>
      <c r="EP201" s="1"/>
      <c r="EQ201" s="1"/>
      <c r="ER201" s="1"/>
    </row>
    <row r="202" spans="2:148" x14ac:dyDescent="0.25">
      <c r="DY202" s="1"/>
      <c r="DZ202" s="1"/>
      <c r="EA202" s="1"/>
      <c r="ED202" s="1"/>
      <c r="EE202" s="1"/>
      <c r="EF202" s="1"/>
      <c r="EG202" s="1"/>
      <c r="EH202" s="1"/>
      <c r="EI202" s="1"/>
      <c r="EJ202" s="1"/>
      <c r="EK202" s="1"/>
      <c r="EL202" s="1"/>
      <c r="EM202" s="1"/>
      <c r="EN202" s="1"/>
      <c r="EO202" s="1"/>
      <c r="EP202" s="1"/>
      <c r="EQ202" s="1"/>
      <c r="ER202" s="1"/>
    </row>
    <row r="203" spans="2:148" x14ac:dyDescent="0.25">
      <c r="DY203" s="1"/>
      <c r="DZ203" s="1"/>
      <c r="EA203" s="1"/>
      <c r="ED203" s="1"/>
      <c r="EE203" s="1"/>
      <c r="EF203" s="1"/>
      <c r="EG203" s="1"/>
      <c r="EH203" s="1"/>
      <c r="EI203" s="1"/>
      <c r="EJ203" s="1"/>
      <c r="EK203" s="1"/>
      <c r="EL203" s="1"/>
      <c r="EM203" s="1"/>
      <c r="EN203" s="1"/>
      <c r="EO203" s="1"/>
      <c r="EP203" s="1"/>
      <c r="EQ203" s="1"/>
      <c r="ER203" s="1"/>
    </row>
    <row r="204" spans="2:148" x14ac:dyDescent="0.25">
      <c r="DY204" s="1"/>
      <c r="DZ204" s="1"/>
      <c r="EA204" s="1"/>
      <c r="ED204" s="1"/>
      <c r="EE204" s="1"/>
      <c r="EF204" s="1"/>
      <c r="EG204" s="1"/>
      <c r="EH204" s="1"/>
      <c r="EI204" s="1"/>
      <c r="EJ204" s="1"/>
      <c r="EK204" s="1"/>
      <c r="EL204" s="1"/>
      <c r="EM204" s="1"/>
      <c r="EN204" s="1"/>
      <c r="EO204" s="1"/>
      <c r="EP204" s="1"/>
      <c r="EQ204" s="1"/>
      <c r="ER204" s="1"/>
    </row>
    <row r="205" spans="2:148" x14ac:dyDescent="0.25">
      <c r="DY205" s="1"/>
      <c r="DZ205" s="1"/>
      <c r="EA205" s="1"/>
      <c r="ED205" s="1"/>
      <c r="EE205" s="1"/>
      <c r="EF205" s="1"/>
      <c r="EG205" s="1"/>
      <c r="EH205" s="1"/>
      <c r="EI205" s="1"/>
      <c r="EJ205" s="1"/>
      <c r="EK205" s="1"/>
      <c r="EL205" s="1"/>
      <c r="EM205" s="1"/>
      <c r="EN205" s="1"/>
      <c r="EO205" s="1"/>
      <c r="EP205" s="1"/>
      <c r="EQ205" s="1"/>
      <c r="ER205" s="1"/>
    </row>
    <row r="206" spans="2:148" x14ac:dyDescent="0.25">
      <c r="DY206" s="1"/>
      <c r="DZ206" s="1"/>
      <c r="EA206" s="1"/>
      <c r="ED206" s="1"/>
      <c r="EE206" s="1"/>
      <c r="EF206" s="1"/>
      <c r="EG206" s="1"/>
      <c r="EH206" s="1"/>
      <c r="EI206" s="1"/>
      <c r="EJ206" s="1"/>
      <c r="EK206" s="1"/>
      <c r="EL206" s="1"/>
      <c r="EM206" s="1"/>
      <c r="EN206" s="1"/>
      <c r="EO206" s="1"/>
      <c r="EP206" s="1"/>
      <c r="EQ206" s="1"/>
      <c r="ER206" s="1"/>
    </row>
    <row r="207" spans="2:148" x14ac:dyDescent="0.25">
      <c r="DY207" s="1"/>
      <c r="DZ207" s="1"/>
      <c r="EA207" s="1"/>
      <c r="ED207" s="1"/>
      <c r="EE207" s="1"/>
      <c r="EF207" s="1"/>
      <c r="EG207" s="1"/>
      <c r="EH207" s="1"/>
      <c r="EI207" s="1"/>
      <c r="EJ207" s="1"/>
      <c r="EK207" s="1"/>
      <c r="EL207" s="1"/>
      <c r="EM207" s="1"/>
      <c r="EN207" s="1"/>
      <c r="EO207" s="1"/>
      <c r="EP207" s="1"/>
      <c r="EQ207" s="1"/>
      <c r="ER207" s="1"/>
    </row>
    <row r="208" spans="2:148" x14ac:dyDescent="0.25">
      <c r="DY208" s="1"/>
      <c r="DZ208" s="1"/>
      <c r="EA208" s="1"/>
      <c r="ED208" s="1"/>
      <c r="EE208" s="1"/>
      <c r="EF208" s="1"/>
      <c r="EG208" s="1"/>
      <c r="EH208" s="1"/>
      <c r="EI208" s="1"/>
      <c r="EJ208" s="1"/>
      <c r="EK208" s="1"/>
      <c r="EL208" s="1"/>
      <c r="EM208" s="1"/>
      <c r="EN208" s="1"/>
      <c r="EO208" s="1"/>
      <c r="EP208" s="1"/>
      <c r="EQ208" s="1"/>
      <c r="ER208" s="1"/>
    </row>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305" ht="18.75" customHeight="1" x14ac:dyDescent="0.25"/>
  </sheetData>
  <sheetProtection algorithmName="SHA-512" hashValue="cqrizmq4HUZkrXRc/MtQX02m+FInumJNtXUgBQGZzUs2OZy6d9knRJQYEDjCW807pDRIa4C+JS7GRvg1IC5ftw==" saltValue="i+RB0BwsZMsQ7wkkUK45aA==" spinCount="100000" sheet="1" objects="1" scenarios="1"/>
  <mergeCells count="27">
    <mergeCell ref="C8:AO9"/>
    <mergeCell ref="II55:IM55"/>
    <mergeCell ref="II56:IM56"/>
    <mergeCell ref="II57:IM57"/>
    <mergeCell ref="II58:IM58"/>
    <mergeCell ref="II46:IM46"/>
    <mergeCell ref="II47:IM47"/>
    <mergeCell ref="II48:IM48"/>
    <mergeCell ref="II49:IM49"/>
    <mergeCell ref="II42:IM42"/>
    <mergeCell ref="II43:IM43"/>
    <mergeCell ref="II44:IM44"/>
    <mergeCell ref="II45:IM45"/>
    <mergeCell ref="II40:IM41"/>
    <mergeCell ref="HO37:HQ37"/>
    <mergeCell ref="IJ37:IL37"/>
    <mergeCell ref="HO38:HQ38"/>
    <mergeCell ref="IJ38:IL38"/>
    <mergeCell ref="HC35:IO35"/>
    <mergeCell ref="HS36:HU36"/>
    <mergeCell ref="HL60:HY60"/>
    <mergeCell ref="HZ60:IC60"/>
    <mergeCell ref="II50:IM50"/>
    <mergeCell ref="II51:IM51"/>
    <mergeCell ref="II52:IM52"/>
    <mergeCell ref="II53:IM53"/>
    <mergeCell ref="II54:IM54"/>
  </mergeCells>
  <dataValidations disablePrompts="1" count="1">
    <dataValidation allowBlank="1" showErrorMessage="1" sqref="S17:U17" xr:uid="{2E5CD256-D3D0-4FCC-A61B-90F1AA014238}"/>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53B1A-79AE-4294-9D8A-0784857809F0}">
  <sheetPr>
    <pageSetUpPr fitToPage="1"/>
  </sheetPr>
  <dimension ref="B1:IO305"/>
  <sheetViews>
    <sheetView tabSelected="1" zoomScale="115" zoomScaleNormal="115" workbookViewId="0">
      <selection activeCell="Q13" sqref="Q13"/>
    </sheetView>
  </sheetViews>
  <sheetFormatPr defaultRowHeight="15" x14ac:dyDescent="0.25"/>
  <cols>
    <col min="1" max="84" width="2.7109375" style="1" customWidth="1"/>
    <col min="85" max="128" width="2.7109375" style="1" hidden="1" customWidth="1"/>
    <col min="129" max="131" width="2.7109375" style="2" hidden="1" customWidth="1"/>
    <col min="132" max="133" width="2.7109375" style="1" hidden="1" customWidth="1"/>
    <col min="134" max="148" width="2.7109375" style="3" hidden="1" customWidth="1"/>
    <col min="149" max="167" width="2.7109375" style="1" hidden="1" customWidth="1"/>
    <col min="168" max="168" width="9.140625" style="1" hidden="1" customWidth="1"/>
    <col min="169" max="169" width="0.28515625" style="1" hidden="1" customWidth="1"/>
    <col min="170" max="171" width="9.140625" style="1" hidden="1" customWidth="1"/>
    <col min="172" max="189" width="9.140625" style="1" customWidth="1"/>
    <col min="190" max="249" width="2.7109375" style="1" customWidth="1"/>
    <col min="250" max="250" width="9.140625" style="1" customWidth="1"/>
    <col min="251" max="16384" width="9.140625" style="1"/>
  </cols>
  <sheetData>
    <row r="1" spans="2:168" ht="18" customHeight="1" x14ac:dyDescent="0.25"/>
    <row r="2" spans="2:168"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68" ht="18" customHeight="1" x14ac:dyDescent="0.25">
      <c r="B3" s="7"/>
      <c r="AO3" s="8" t="s">
        <v>0</v>
      </c>
      <c r="AP3" s="9"/>
      <c r="AR3" s="7"/>
      <c r="CF3" s="9"/>
    </row>
    <row r="4" spans="2:168" ht="18" customHeight="1" x14ac:dyDescent="0.25">
      <c r="B4" s="7"/>
      <c r="AO4" s="10" t="s">
        <v>1</v>
      </c>
      <c r="AP4" s="9"/>
      <c r="AR4" s="7"/>
      <c r="CF4" s="9"/>
    </row>
    <row r="5" spans="2:168" ht="18" customHeight="1" thickBot="1" x14ac:dyDescent="0.3">
      <c r="B5" s="7"/>
      <c r="AO5" s="10" t="s">
        <v>2</v>
      </c>
      <c r="AP5" s="9"/>
      <c r="AR5" s="7"/>
      <c r="AS5" s="11" t="str">
        <f>C7</f>
        <v>MotorVAR™ - MOTOR START CAPACITOR BANK - SIZING TOOL 
SIMPLE SYSTEM CONFIGURATION</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row>
    <row r="6" spans="2:168"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CH6" s="101" t="s">
        <v>4</v>
      </c>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EF6" s="152" t="s">
        <v>5</v>
      </c>
      <c r="EG6" s="152"/>
      <c r="EH6" s="152"/>
      <c r="EI6" s="152"/>
      <c r="EJ6" s="152"/>
      <c r="EK6" s="152"/>
      <c r="EL6" s="152"/>
      <c r="EM6" s="152"/>
      <c r="EN6" s="152"/>
      <c r="EO6" s="152"/>
      <c r="EP6" s="152"/>
      <c r="EQ6" s="152"/>
      <c r="ER6" s="152"/>
      <c r="ES6" s="152"/>
      <c r="ET6" s="152"/>
      <c r="EU6" s="152"/>
      <c r="EV6" s="152"/>
    </row>
    <row r="7" spans="2:168" ht="18" customHeight="1" x14ac:dyDescent="0.25">
      <c r="B7" s="7"/>
      <c r="C7" s="153" t="s">
        <v>161</v>
      </c>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9"/>
      <c r="AR7" s="7"/>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9"/>
      <c r="DE7" s="15"/>
      <c r="DF7" s="15"/>
      <c r="DG7" s="15"/>
      <c r="DH7" s="15"/>
      <c r="DI7" s="16" t="s">
        <v>6</v>
      </c>
      <c r="DJ7" s="118" t="str">
        <f>IMDIV(P27*1000/1.73,CI40)</f>
        <v>184.993193447452-1044.75462461792i</v>
      </c>
      <c r="DK7" s="118"/>
      <c r="DL7" s="118"/>
      <c r="DM7" s="118"/>
      <c r="DN7" s="118"/>
      <c r="DO7" s="118"/>
      <c r="DP7" s="118"/>
      <c r="DQ7" s="118"/>
      <c r="DR7" s="118"/>
      <c r="DS7" s="118"/>
      <c r="DT7" s="118"/>
      <c r="DU7" s="118"/>
      <c r="DV7" s="118"/>
      <c r="DW7" s="118"/>
      <c r="DX7" s="118"/>
      <c r="DY7" s="118"/>
      <c r="DZ7" s="118"/>
      <c r="EA7" s="118"/>
      <c r="EB7" s="118"/>
      <c r="EC7" s="118"/>
      <c r="EH7" s="17"/>
      <c r="EI7" s="17"/>
      <c r="EJ7" s="17"/>
      <c r="EK7" s="17"/>
      <c r="EL7" s="17"/>
      <c r="EM7" s="17"/>
      <c r="EN7" s="17"/>
      <c r="EO7" s="17"/>
      <c r="EP7" s="17"/>
      <c r="EQ7" s="16" t="s">
        <v>7</v>
      </c>
      <c r="ER7" s="118" t="str">
        <f>IMDIV(P27*1000/1.73,CI45)</f>
        <v>296.949624875633-160.990496170873i</v>
      </c>
      <c r="ES7" s="118"/>
      <c r="ET7" s="118"/>
      <c r="EU7" s="118"/>
      <c r="EV7" s="118"/>
      <c r="EW7" s="118"/>
      <c r="EX7" s="118"/>
      <c r="EY7" s="118"/>
      <c r="EZ7" s="118"/>
      <c r="FA7" s="118"/>
      <c r="FB7" s="118"/>
      <c r="FC7" s="118"/>
      <c r="FD7" s="118"/>
      <c r="FE7" s="118"/>
      <c r="FF7" s="118"/>
      <c r="FG7" s="118"/>
      <c r="FH7" s="118"/>
      <c r="FI7" s="118"/>
      <c r="FJ7" s="118"/>
      <c r="FK7" s="118"/>
      <c r="FL7" s="3"/>
    </row>
    <row r="8" spans="2:168" ht="18" customHeight="1" x14ac:dyDescent="0.25">
      <c r="B8" s="7"/>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9"/>
      <c r="AR8" s="7"/>
      <c r="AS8" s="18" t="s">
        <v>8</v>
      </c>
      <c r="CF8" s="9"/>
      <c r="DI8" s="19" t="s">
        <v>6</v>
      </c>
      <c r="DJ8" s="113">
        <f>IMABS(DJ7)</f>
        <v>1061.0064595856227</v>
      </c>
      <c r="DK8" s="113"/>
      <c r="DL8" s="113"/>
      <c r="DM8" s="113"/>
      <c r="DN8" s="3" t="s">
        <v>9</v>
      </c>
      <c r="DO8" s="93">
        <f>DEGREES(IMARGUMENT(DJ7))</f>
        <v>-79.958797265275223</v>
      </c>
      <c r="DP8" s="93"/>
      <c r="DQ8" s="93"/>
      <c r="DR8" s="1" t="s">
        <v>10</v>
      </c>
      <c r="DT8" s="3"/>
      <c r="DU8" s="3"/>
      <c r="DV8" s="3"/>
      <c r="DW8" s="3"/>
      <c r="DX8" s="3"/>
      <c r="DY8" s="3"/>
      <c r="DZ8" s="3"/>
      <c r="EA8" s="3"/>
      <c r="EB8" s="3"/>
      <c r="EC8" s="3"/>
      <c r="EQ8" s="19" t="s">
        <v>7</v>
      </c>
      <c r="ER8" s="114">
        <f>IMABS(ER7)</f>
        <v>337.78250335256121</v>
      </c>
      <c r="ES8" s="114"/>
      <c r="ET8" s="114"/>
      <c r="EU8" s="114"/>
      <c r="EV8" s="3" t="s">
        <v>9</v>
      </c>
      <c r="EW8" s="93">
        <f>DEGREES(IMARGUMENT(ER7))</f>
        <v>-28.46422443505368</v>
      </c>
      <c r="EX8" s="93"/>
      <c r="EY8" s="93"/>
      <c r="EZ8" s="1" t="s">
        <v>10</v>
      </c>
      <c r="FB8" s="3"/>
      <c r="FC8" s="3"/>
      <c r="FD8" s="3"/>
      <c r="FE8" s="3"/>
      <c r="FF8" s="3"/>
      <c r="FG8" s="3"/>
      <c r="FH8" s="3"/>
      <c r="FI8" s="3"/>
      <c r="FJ8" s="3"/>
      <c r="FK8" s="3"/>
      <c r="FL8" s="3"/>
    </row>
    <row r="9" spans="2:168" ht="18" customHeight="1" x14ac:dyDescent="0.25">
      <c r="B9" s="7"/>
      <c r="C9" s="18" t="s">
        <v>11</v>
      </c>
      <c r="D9" s="20"/>
      <c r="E9" s="21"/>
      <c r="F9" s="21"/>
      <c r="G9" s="21"/>
      <c r="H9" s="21"/>
      <c r="I9" s="22"/>
      <c r="J9" s="23"/>
      <c r="K9" s="23"/>
      <c r="L9" s="23"/>
      <c r="M9" s="23"/>
      <c r="N9" s="23"/>
      <c r="O9" s="23"/>
      <c r="P9" s="23"/>
      <c r="Q9" s="23"/>
      <c r="R9" s="23"/>
      <c r="S9" s="23"/>
      <c r="T9" s="23"/>
      <c r="U9" s="23"/>
      <c r="V9" s="23"/>
      <c r="W9" s="23"/>
      <c r="X9" s="23"/>
      <c r="Y9" s="23"/>
      <c r="Z9" s="23"/>
      <c r="AA9" s="23"/>
      <c r="AB9" s="23"/>
      <c r="AC9" s="23" t="s">
        <v>12</v>
      </c>
      <c r="AD9" s="23"/>
      <c r="AE9" s="23"/>
      <c r="AG9" s="24"/>
      <c r="AH9" s="24"/>
      <c r="AI9" s="24"/>
      <c r="AJ9" s="24"/>
      <c r="AK9" s="24"/>
      <c r="AL9" s="24"/>
      <c r="AM9" s="24"/>
      <c r="AN9" s="25" t="str">
        <f ca="1">"" &amp; TEXT(TODAY(), "mmmm d, yyyy")</f>
        <v>April 13, 2026</v>
      </c>
      <c r="AO9" s="24"/>
      <c r="AP9" s="9"/>
      <c r="AR9" s="7"/>
      <c r="BH9" s="144" t="s">
        <v>13</v>
      </c>
      <c r="BI9" s="144"/>
      <c r="BJ9" s="144"/>
      <c r="BK9" s="144"/>
      <c r="BL9" s="144"/>
      <c r="BM9" s="144"/>
      <c r="BN9" s="144"/>
      <c r="BO9" s="144"/>
      <c r="BP9" s="144"/>
      <c r="BQ9" s="144"/>
      <c r="BS9" s="146" t="s">
        <v>14</v>
      </c>
      <c r="BT9" s="146"/>
      <c r="BU9" s="146"/>
      <c r="BV9" s="146"/>
      <c r="BW9" s="146"/>
      <c r="BX9" s="146"/>
      <c r="BY9" s="146"/>
      <c r="BZ9" s="146"/>
      <c r="CA9" s="146"/>
      <c r="CF9" s="9"/>
      <c r="DI9" s="19" t="s">
        <v>15</v>
      </c>
      <c r="DJ9" s="111">
        <f>DJ8/P33</f>
        <v>3.015079453212909</v>
      </c>
      <c r="DK9" s="111"/>
      <c r="DL9" s="111"/>
      <c r="DM9" s="111"/>
      <c r="EQ9" s="19" t="s">
        <v>16</v>
      </c>
      <c r="ER9" s="111">
        <f>ER8/P33</f>
        <v>0.95988207829656502</v>
      </c>
      <c r="ES9" s="111"/>
      <c r="ET9" s="111"/>
      <c r="EU9" s="111"/>
    </row>
    <row r="10" spans="2:168" ht="18" customHeight="1" x14ac:dyDescent="0.25">
      <c r="B10" s="7"/>
      <c r="AP10" s="9"/>
      <c r="AR10" s="7"/>
      <c r="AS10" s="155" t="s">
        <v>17</v>
      </c>
      <c r="AT10" s="155"/>
      <c r="AU10" s="155"/>
      <c r="AV10" s="155"/>
      <c r="AW10" s="155"/>
      <c r="AX10" s="155"/>
      <c r="AY10" s="155"/>
      <c r="AZ10" s="155"/>
      <c r="BA10" s="155"/>
      <c r="BB10" s="155"/>
      <c r="BC10" s="155"/>
      <c r="BD10" s="155"/>
      <c r="BE10" s="155"/>
      <c r="BF10" s="155"/>
      <c r="BH10" s="145"/>
      <c r="BI10" s="145"/>
      <c r="BJ10" s="145"/>
      <c r="BK10" s="145"/>
      <c r="BL10" s="145"/>
      <c r="BM10" s="145"/>
      <c r="BN10" s="145"/>
      <c r="BO10" s="145"/>
      <c r="BP10" s="145"/>
      <c r="BQ10" s="145"/>
      <c r="BS10" s="147"/>
      <c r="BT10" s="147"/>
      <c r="BU10" s="147"/>
      <c r="BV10" s="147"/>
      <c r="BW10" s="147"/>
      <c r="BX10" s="147"/>
      <c r="BY10" s="147"/>
      <c r="BZ10" s="147"/>
      <c r="CA10" s="147"/>
      <c r="CF10" s="9"/>
      <c r="DI10" s="19" t="s">
        <v>18</v>
      </c>
      <c r="DJ10" s="111">
        <f>(DJ9/(P36/100))^2</f>
        <v>0.36362816436746614</v>
      </c>
      <c r="DK10" s="111"/>
      <c r="DL10" s="111"/>
      <c r="DM10" s="111"/>
      <c r="DO10" s="3" t="s">
        <v>12</v>
      </c>
      <c r="EM10" s="17"/>
      <c r="EN10" s="17"/>
      <c r="EO10" s="17"/>
      <c r="EP10" s="17"/>
      <c r="EQ10" s="16" t="s">
        <v>19</v>
      </c>
      <c r="ER10" s="156" t="str">
        <f>IMDIV(IMDIV(ER14,CI34),"1.73+0i")</f>
        <v>157.756235523008-1549.61988251571i</v>
      </c>
      <c r="ES10" s="156"/>
      <c r="ET10" s="156"/>
      <c r="EU10" s="156"/>
      <c r="EV10" s="156"/>
      <c r="EW10" s="156"/>
      <c r="EX10" s="156"/>
      <c r="EY10" s="156"/>
      <c r="EZ10" s="156"/>
      <c r="FA10" s="156"/>
      <c r="FB10" s="156"/>
      <c r="FC10" s="156"/>
      <c r="FD10" s="156"/>
      <c r="FE10" s="156"/>
      <c r="FF10" s="156"/>
      <c r="FG10" s="156"/>
      <c r="FH10" s="156"/>
      <c r="FI10" s="156"/>
      <c r="FJ10" s="156"/>
      <c r="FK10" s="156"/>
    </row>
    <row r="11" spans="2:168" ht="18" customHeight="1" x14ac:dyDescent="0.25">
      <c r="B11" s="7"/>
      <c r="C11" s="23"/>
      <c r="D11" s="23"/>
      <c r="E11" s="23"/>
      <c r="F11" s="23"/>
      <c r="G11" s="10" t="s">
        <v>20</v>
      </c>
      <c r="H11" s="157" t="s">
        <v>21</v>
      </c>
      <c r="I11" s="157"/>
      <c r="J11" s="157"/>
      <c r="K11" s="157"/>
      <c r="L11" s="157"/>
      <c r="M11" s="157"/>
      <c r="N11" s="157"/>
      <c r="O11" s="157"/>
      <c r="P11" s="157"/>
      <c r="Q11" s="157"/>
      <c r="R11" s="157"/>
      <c r="S11" s="157"/>
      <c r="T11" s="157"/>
      <c r="U11" s="157"/>
      <c r="V11" s="157"/>
      <c r="W11" s="157"/>
      <c r="X11" s="23"/>
      <c r="Y11" s="23"/>
      <c r="Z11" s="23"/>
      <c r="AA11" s="23"/>
      <c r="AC11" s="10" t="s">
        <v>22</v>
      </c>
      <c r="AD11" s="23"/>
      <c r="AE11" s="158" t="s">
        <v>23</v>
      </c>
      <c r="AF11" s="158"/>
      <c r="AG11" s="158"/>
      <c r="AH11" s="158"/>
      <c r="AI11" s="158"/>
      <c r="AJ11" s="158"/>
      <c r="AK11" s="158"/>
      <c r="AL11" s="158"/>
      <c r="AM11" s="158"/>
      <c r="AN11" s="158"/>
      <c r="AO11" s="23"/>
      <c r="AP11" s="9"/>
      <c r="AR11" s="7"/>
      <c r="BF11" s="10" t="s">
        <v>24</v>
      </c>
      <c r="BH11" s="184" t="str">
        <f>ROUND(DJ8,1)&amp;" amps, "&amp;ROUND(DO8,2)&amp;"°"</f>
        <v>1061 amps, -79.96°</v>
      </c>
      <c r="BI11" s="184"/>
      <c r="BJ11" s="184"/>
      <c r="BK11" s="184"/>
      <c r="BL11" s="184"/>
      <c r="BM11" s="184"/>
      <c r="BN11" s="184"/>
      <c r="BO11" s="184"/>
      <c r="BP11" s="184"/>
      <c r="BQ11" s="184"/>
      <c r="BS11" s="181" t="str">
        <f>ROUND(ER11,1)&amp;" amps, "&amp;ROUND(EW11,2)&amp;"°"</f>
        <v>1557.6 amps, -84.19°</v>
      </c>
      <c r="BT11" s="181"/>
      <c r="BU11" s="181"/>
      <c r="BV11" s="181"/>
      <c r="BW11" s="181"/>
      <c r="BX11" s="181"/>
      <c r="BY11" s="181"/>
      <c r="BZ11" s="181"/>
      <c r="CA11" s="181"/>
      <c r="CF11" s="9"/>
      <c r="DA11" s="15"/>
      <c r="DB11" s="15"/>
      <c r="DC11" s="15"/>
      <c r="DD11" s="15"/>
      <c r="DE11" s="15"/>
      <c r="DF11" s="15"/>
      <c r="DG11" s="15"/>
      <c r="DH11" s="15"/>
      <c r="DI11" s="16" t="s">
        <v>25</v>
      </c>
      <c r="DJ11" s="118" t="str">
        <f>IMPRODUCT(CI34,DJ7,"1.73+0i")</f>
        <v>7957.09753942553-207.774174178197i</v>
      </c>
      <c r="DK11" s="118"/>
      <c r="DL11" s="118"/>
      <c r="DM11" s="118"/>
      <c r="DN11" s="118"/>
      <c r="DO11" s="118"/>
      <c r="DP11" s="118"/>
      <c r="DQ11" s="118"/>
      <c r="DR11" s="118"/>
      <c r="DS11" s="118"/>
      <c r="DT11" s="118"/>
      <c r="DU11" s="118"/>
      <c r="DV11" s="118"/>
      <c r="DW11" s="118"/>
      <c r="DX11" s="118"/>
      <c r="DY11" s="118"/>
      <c r="DZ11" s="118"/>
      <c r="EA11" s="118"/>
      <c r="EB11" s="118"/>
      <c r="EC11" s="118"/>
      <c r="EQ11" s="26" t="s">
        <v>19</v>
      </c>
      <c r="ER11" s="94">
        <f>IMABS(ER10)</f>
        <v>1557.629227426859</v>
      </c>
      <c r="ES11" s="94"/>
      <c r="ET11" s="94"/>
      <c r="EU11" s="94"/>
      <c r="EV11" s="1" t="s">
        <v>9</v>
      </c>
      <c r="EW11" s="100">
        <f>DEGREES(IMARGUMENT(ER10))</f>
        <v>-84.187133408341111</v>
      </c>
      <c r="EX11" s="100"/>
      <c r="EY11" s="100"/>
      <c r="EZ11" s="100"/>
      <c r="FA11" s="1" t="s">
        <v>10</v>
      </c>
    </row>
    <row r="12" spans="2:168" ht="18" customHeight="1" x14ac:dyDescent="0.25">
      <c r="B12" s="7"/>
      <c r="C12" s="23"/>
      <c r="D12" s="23"/>
      <c r="E12" s="23"/>
      <c r="F12" s="23"/>
      <c r="G12" s="10" t="s">
        <v>26</v>
      </c>
      <c r="H12" s="157" t="s">
        <v>21</v>
      </c>
      <c r="I12" s="157"/>
      <c r="J12" s="157"/>
      <c r="K12" s="157"/>
      <c r="L12" s="157"/>
      <c r="M12" s="157"/>
      <c r="N12" s="157"/>
      <c r="O12" s="157"/>
      <c r="P12" s="157"/>
      <c r="Q12" s="157"/>
      <c r="R12" s="157"/>
      <c r="S12" s="157"/>
      <c r="T12" s="157"/>
      <c r="U12" s="157"/>
      <c r="V12" s="157"/>
      <c r="W12" s="157"/>
      <c r="X12" s="23"/>
      <c r="Y12" s="23"/>
      <c r="Z12" s="23"/>
      <c r="AA12" s="23"/>
      <c r="AB12" s="23"/>
      <c r="AC12" s="10" t="s">
        <v>27</v>
      </c>
      <c r="AD12" s="23"/>
      <c r="AE12" s="159" t="s">
        <v>28</v>
      </c>
      <c r="AF12" s="160"/>
      <c r="AG12" s="160"/>
      <c r="AH12" s="160"/>
      <c r="AI12" s="160"/>
      <c r="AJ12" s="160"/>
      <c r="AK12" s="160"/>
      <c r="AL12" s="160"/>
      <c r="AM12" s="160"/>
      <c r="AN12" s="161"/>
      <c r="AO12" s="23"/>
      <c r="AP12" s="9"/>
      <c r="AR12" s="7"/>
      <c r="AT12" s="19"/>
      <c r="AU12" s="19"/>
      <c r="AV12" s="19"/>
      <c r="AW12" s="19"/>
      <c r="AX12" s="19"/>
      <c r="AY12" s="19"/>
      <c r="AZ12" s="19"/>
      <c r="BA12" s="19"/>
      <c r="BB12" s="19"/>
      <c r="BC12" s="19"/>
      <c r="BD12" s="19"/>
      <c r="BE12" s="19"/>
      <c r="BF12" s="10" t="s">
        <v>29</v>
      </c>
      <c r="BH12" s="125">
        <f>DJ9</f>
        <v>3.015079453212909</v>
      </c>
      <c r="BI12" s="125"/>
      <c r="BJ12" s="125"/>
      <c r="BK12" s="125"/>
      <c r="BL12" s="125"/>
      <c r="BM12" s="125"/>
      <c r="BN12" s="125"/>
      <c r="BO12" s="125"/>
      <c r="BP12" s="125"/>
      <c r="BQ12" s="125"/>
      <c r="BS12" s="183">
        <f>ER12</f>
        <v>4.4263405155636804</v>
      </c>
      <c r="BT12" s="183"/>
      <c r="BU12" s="183"/>
      <c r="BV12" s="183"/>
      <c r="BW12" s="183"/>
      <c r="BX12" s="183"/>
      <c r="BY12" s="183"/>
      <c r="BZ12" s="183"/>
      <c r="CA12" s="183"/>
      <c r="CF12" s="9"/>
      <c r="DI12" s="19" t="s">
        <v>25</v>
      </c>
      <c r="DJ12" s="110">
        <f>IMABS(DJ11)</f>
        <v>7959.8097564820764</v>
      </c>
      <c r="DK12" s="110"/>
      <c r="DL12" s="110"/>
      <c r="DM12" s="110"/>
      <c r="DN12" s="3" t="s">
        <v>9</v>
      </c>
      <c r="DO12" s="93">
        <f>DEGREES(IMARGUMENT(DJ11))</f>
        <v>-1.4957562980907229</v>
      </c>
      <c r="DP12" s="93"/>
      <c r="DQ12" s="93"/>
      <c r="DR12" s="1" t="s">
        <v>30</v>
      </c>
      <c r="DT12" s="3"/>
      <c r="EQ12" s="19" t="s">
        <v>15</v>
      </c>
      <c r="ER12" s="111">
        <f>ER11/P33</f>
        <v>4.4263405155636804</v>
      </c>
      <c r="ES12" s="111"/>
      <c r="ET12" s="111"/>
      <c r="EU12" s="111"/>
    </row>
    <row r="13" spans="2:168" ht="18" customHeight="1" x14ac:dyDescent="0.25">
      <c r="B13" s="7"/>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9"/>
      <c r="AR13" s="7"/>
      <c r="AT13" s="19"/>
      <c r="AU13" s="19"/>
      <c r="AV13" s="19"/>
      <c r="AW13" s="19"/>
      <c r="AX13" s="19"/>
      <c r="AY13" s="19"/>
      <c r="AZ13" s="19"/>
      <c r="BA13" s="19"/>
      <c r="BB13" s="19"/>
      <c r="BC13" s="19"/>
      <c r="BD13" s="19"/>
      <c r="BE13" s="19"/>
      <c r="BF13" s="10" t="s">
        <v>31</v>
      </c>
      <c r="BH13" s="165" t="str">
        <f>ROUND(DJ12/1000,2)&amp;" kV"</f>
        <v>7.96 kV</v>
      </c>
      <c r="BI13" s="165"/>
      <c r="BJ13" s="165"/>
      <c r="BK13" s="165"/>
      <c r="BL13" s="165"/>
      <c r="BM13" s="165"/>
      <c r="BN13" s="165"/>
      <c r="BO13" s="165"/>
      <c r="BP13" s="165"/>
      <c r="BQ13" s="165"/>
      <c r="BR13" s="27"/>
      <c r="BS13" s="182" t="str">
        <f>ROUND(ER15/1000,2)&amp;" kV"</f>
        <v>11.69 kV</v>
      </c>
      <c r="BT13" s="182"/>
      <c r="BU13" s="182"/>
      <c r="BV13" s="182"/>
      <c r="BW13" s="182"/>
      <c r="BX13" s="182"/>
      <c r="BY13" s="182"/>
      <c r="BZ13" s="182"/>
      <c r="CA13" s="182"/>
      <c r="CF13" s="9"/>
      <c r="DI13" s="19" t="s">
        <v>32</v>
      </c>
      <c r="DJ13" s="111">
        <f>DJ12/(P31*1000)</f>
        <v>0.60301589064258154</v>
      </c>
      <c r="DK13" s="111"/>
      <c r="DL13" s="111"/>
      <c r="DM13" s="111"/>
      <c r="EQ13" s="19" t="s">
        <v>33</v>
      </c>
      <c r="ER13" s="111">
        <f>(ER12/(P36/100))^2</f>
        <v>0.78369961438882185</v>
      </c>
      <c r="ES13" s="111"/>
      <c r="ET13" s="111"/>
      <c r="EU13" s="111"/>
    </row>
    <row r="14" spans="2:168" ht="18" customHeight="1" x14ac:dyDescent="0.3">
      <c r="B14" s="7"/>
      <c r="C14" s="28" t="s">
        <v>34</v>
      </c>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9"/>
      <c r="AR14" s="7"/>
      <c r="AT14" s="19"/>
      <c r="AU14" s="19"/>
      <c r="AV14" s="19"/>
      <c r="AW14" s="19"/>
      <c r="AX14" s="19"/>
      <c r="AY14" s="19"/>
      <c r="AZ14" s="19"/>
      <c r="BA14" s="19"/>
      <c r="BB14" s="19"/>
      <c r="BC14" s="19"/>
      <c r="BD14" s="19"/>
      <c r="BE14" s="19"/>
      <c r="BF14" s="19" t="s">
        <v>35</v>
      </c>
      <c r="BH14" s="125">
        <f>DJ13</f>
        <v>0.60301589064258154</v>
      </c>
      <c r="BI14" s="179"/>
      <c r="BJ14" s="179"/>
      <c r="BK14" s="179"/>
      <c r="BL14" s="179"/>
      <c r="BM14" s="179"/>
      <c r="BN14" s="179"/>
      <c r="BO14" s="179"/>
      <c r="BP14" s="179"/>
      <c r="BQ14" s="179"/>
      <c r="BS14" s="180">
        <f>ER16</f>
        <v>0.8852681031127364</v>
      </c>
      <c r="BT14" s="181"/>
      <c r="BU14" s="181"/>
      <c r="BV14" s="181"/>
      <c r="BW14" s="181"/>
      <c r="BX14" s="181"/>
      <c r="BY14" s="181"/>
      <c r="BZ14" s="181"/>
      <c r="CA14" s="181"/>
      <c r="CF14" s="9"/>
      <c r="DI14" s="19" t="s">
        <v>36</v>
      </c>
      <c r="DJ14" s="111">
        <f>DJ12/(P27*1000)</f>
        <v>0.63831674069623712</v>
      </c>
      <c r="DK14" s="111"/>
      <c r="DL14" s="111"/>
      <c r="DM14" s="111"/>
      <c r="EH14" s="17"/>
      <c r="EI14" s="17"/>
      <c r="EJ14" s="17"/>
      <c r="EK14" s="17"/>
      <c r="EL14" s="17"/>
      <c r="EM14" s="17"/>
      <c r="EN14" s="17"/>
      <c r="EO14" s="17"/>
      <c r="EP14" s="17"/>
      <c r="EQ14" s="16" t="s">
        <v>25</v>
      </c>
      <c r="ER14" s="118" t="str">
        <f>IMPRODUCT(CI43,ER7,"1.73+0i")</f>
        <v>11627.2715777426-1165.49408772741i</v>
      </c>
      <c r="ES14" s="118"/>
      <c r="ET14" s="118"/>
      <c r="EU14" s="118"/>
      <c r="EV14" s="118"/>
      <c r="EW14" s="118"/>
      <c r="EX14" s="118"/>
      <c r="EY14" s="118"/>
      <c r="EZ14" s="118"/>
      <c r="FA14" s="118"/>
      <c r="FB14" s="118"/>
      <c r="FC14" s="118"/>
      <c r="FD14" s="118"/>
      <c r="FE14" s="118"/>
      <c r="FF14" s="118"/>
      <c r="FG14" s="118"/>
      <c r="FH14" s="118"/>
      <c r="FI14" s="118"/>
      <c r="FJ14" s="118"/>
      <c r="FK14" s="118"/>
    </row>
    <row r="15" spans="2:168" ht="18" customHeight="1" x14ac:dyDescent="0.25">
      <c r="B15" s="7"/>
      <c r="D15" s="29"/>
      <c r="E15" s="29"/>
      <c r="F15" s="29"/>
      <c r="G15" s="29"/>
      <c r="H15" s="29"/>
      <c r="I15" s="29"/>
      <c r="J15" s="29"/>
      <c r="K15" s="29"/>
      <c r="AP15" s="9"/>
      <c r="AR15" s="7"/>
      <c r="AT15" s="19"/>
      <c r="AU15" s="19"/>
      <c r="AV15" s="19"/>
      <c r="AW15" s="19"/>
      <c r="AX15" s="19"/>
      <c r="AY15" s="19"/>
      <c r="AZ15" s="19"/>
      <c r="BA15" s="19"/>
      <c r="BB15" s="19"/>
      <c r="BC15" s="19"/>
      <c r="BD15" s="19"/>
      <c r="BE15" s="19"/>
      <c r="BF15" s="19" t="s">
        <v>37</v>
      </c>
      <c r="BH15" s="125">
        <f>DJ10</f>
        <v>0.36362816436746614</v>
      </c>
      <c r="BI15" s="179"/>
      <c r="BJ15" s="179"/>
      <c r="BK15" s="179"/>
      <c r="BL15" s="179"/>
      <c r="BM15" s="179"/>
      <c r="BN15" s="179"/>
      <c r="BO15" s="179"/>
      <c r="BP15" s="179"/>
      <c r="BQ15" s="179"/>
      <c r="BS15" s="180">
        <f>ER13</f>
        <v>0.78369961438882185</v>
      </c>
      <c r="BT15" s="181"/>
      <c r="BU15" s="181"/>
      <c r="BV15" s="181"/>
      <c r="BW15" s="181"/>
      <c r="BX15" s="181"/>
      <c r="BY15" s="181"/>
      <c r="BZ15" s="181"/>
      <c r="CA15" s="181"/>
      <c r="CF15" s="9"/>
      <c r="DI15" s="19" t="s">
        <v>38</v>
      </c>
      <c r="DJ15" s="98">
        <f>1-DJ14</f>
        <v>0.36168325930376288</v>
      </c>
      <c r="DK15" s="100"/>
      <c r="DL15" s="100"/>
      <c r="DM15" s="100"/>
      <c r="EQ15" s="19" t="s">
        <v>25</v>
      </c>
      <c r="ER15" s="110">
        <f>IMABS(ER14)</f>
        <v>11685.538961088121</v>
      </c>
      <c r="ES15" s="110"/>
      <c r="ET15" s="110"/>
      <c r="EU15" s="110"/>
      <c r="EV15" s="3" t="s">
        <v>9</v>
      </c>
      <c r="EW15" s="93">
        <f>DEGREES(IMARGUMENT(ER14))</f>
        <v>-5.7240924411566398</v>
      </c>
      <c r="EX15" s="93"/>
      <c r="EY15" s="93"/>
      <c r="EZ15" s="1" t="s">
        <v>30</v>
      </c>
      <c r="FB15" s="3"/>
      <c r="FG15" s="2"/>
      <c r="FH15" s="2"/>
      <c r="FI15" s="2"/>
    </row>
    <row r="16" spans="2:168" ht="18" customHeight="1" x14ac:dyDescent="0.25">
      <c r="B16" s="7"/>
      <c r="AP16" s="9"/>
      <c r="AR16" s="7"/>
      <c r="CF16" s="9"/>
      <c r="DI16" s="19" t="s">
        <v>39</v>
      </c>
      <c r="DJ16" s="100">
        <f>P22/P27</f>
        <v>2.7666399358460305</v>
      </c>
      <c r="DK16" s="100"/>
      <c r="DL16" s="100"/>
      <c r="DM16" s="100"/>
      <c r="EQ16" s="19" t="s">
        <v>32</v>
      </c>
      <c r="ER16" s="111">
        <f>ER15/(P31*1000)</f>
        <v>0.8852681031127364</v>
      </c>
      <c r="ES16" s="111"/>
      <c r="ET16" s="111"/>
      <c r="EU16" s="111"/>
      <c r="FG16" s="2"/>
      <c r="FH16" s="2"/>
      <c r="FI16" s="2"/>
      <c r="FL16" s="3"/>
    </row>
    <row r="17" spans="2:168" ht="18" customHeight="1" x14ac:dyDescent="0.25">
      <c r="B17" s="7"/>
      <c r="AP17" s="9"/>
      <c r="AR17" s="7"/>
      <c r="CF17" s="9"/>
      <c r="DC17" s="15"/>
      <c r="DD17" s="15"/>
      <c r="DE17" s="15"/>
      <c r="DF17" s="15"/>
      <c r="DG17" s="15"/>
      <c r="DH17" s="15"/>
      <c r="DI17" s="16" t="s">
        <v>40</v>
      </c>
      <c r="DJ17" s="118" t="str">
        <f>IMPRODUCT(IMSUM(CI34,CI30),DJ7,"1.73+0i",DJ16)</f>
        <v>23480.5072829916-367.691482396144i</v>
      </c>
      <c r="DK17" s="118"/>
      <c r="DL17" s="118"/>
      <c r="DM17" s="118"/>
      <c r="DN17" s="118"/>
      <c r="DO17" s="118"/>
      <c r="DP17" s="118"/>
      <c r="DQ17" s="118"/>
      <c r="DR17" s="118"/>
      <c r="DS17" s="118"/>
      <c r="DT17" s="118"/>
      <c r="DU17" s="118"/>
      <c r="DV17" s="118"/>
      <c r="DW17" s="118"/>
      <c r="DX17" s="118"/>
      <c r="DY17" s="118"/>
      <c r="DZ17" s="118"/>
      <c r="EA17" s="118"/>
      <c r="EB17" s="118"/>
      <c r="EC17" s="118"/>
      <c r="ED17" s="118"/>
      <c r="EQ17" s="19" t="s">
        <v>36</v>
      </c>
      <c r="ER17" s="111">
        <f>ER15/(P27*1000)</f>
        <v>0.93709213801829361</v>
      </c>
      <c r="ES17" s="111"/>
      <c r="ET17" s="111"/>
      <c r="EU17" s="111"/>
      <c r="FG17" s="2"/>
      <c r="FH17" s="2"/>
      <c r="FI17" s="2"/>
      <c r="FL17" s="3"/>
    </row>
    <row r="18" spans="2:168" ht="18" customHeight="1" x14ac:dyDescent="0.25">
      <c r="B18" s="7"/>
      <c r="AP18" s="9"/>
      <c r="AR18" s="7"/>
      <c r="AS18" s="18" t="s">
        <v>41</v>
      </c>
      <c r="AT18" s="19"/>
      <c r="AU18" s="19"/>
      <c r="AV18" s="19"/>
      <c r="AW18" s="19"/>
      <c r="AX18" s="19"/>
      <c r="CF18" s="9"/>
      <c r="DI18" s="19" t="s">
        <v>40</v>
      </c>
      <c r="DJ18" s="110">
        <f>IMABS(DJ17)</f>
        <v>23483.38602699466</v>
      </c>
      <c r="DK18" s="110"/>
      <c r="DL18" s="110"/>
      <c r="DM18" s="110"/>
      <c r="DN18" s="3" t="s">
        <v>9</v>
      </c>
      <c r="DO18" s="93">
        <f>DEGREES(IMARGUMENT(DJ17))</f>
        <v>-0.89714621953545692</v>
      </c>
      <c r="DP18" s="93"/>
      <c r="DQ18" s="93"/>
      <c r="DR18" s="1" t="s">
        <v>30</v>
      </c>
      <c r="EQ18" s="19" t="s">
        <v>38</v>
      </c>
      <c r="ER18" s="98">
        <f>1-ER17</f>
        <v>6.2907861981706392E-2</v>
      </c>
      <c r="ES18" s="100"/>
      <c r="ET18" s="100"/>
      <c r="EU18" s="100"/>
      <c r="FG18" s="2"/>
      <c r="FH18" s="2"/>
      <c r="FI18" s="2"/>
      <c r="FL18" s="3"/>
    </row>
    <row r="19" spans="2:168" ht="18" customHeight="1" x14ac:dyDescent="0.3">
      <c r="B19" s="7"/>
      <c r="C19" s="28" t="s">
        <v>42</v>
      </c>
      <c r="AP19" s="9"/>
      <c r="AR19" s="7"/>
      <c r="BH19" s="144" t="s">
        <v>13</v>
      </c>
      <c r="BI19" s="144"/>
      <c r="BJ19" s="144"/>
      <c r="BK19" s="144"/>
      <c r="BL19" s="144"/>
      <c r="BM19" s="144"/>
      <c r="BN19" s="144"/>
      <c r="BO19" s="144"/>
      <c r="BP19" s="144"/>
      <c r="BQ19" s="144"/>
      <c r="BS19" s="146" t="s">
        <v>14</v>
      </c>
      <c r="BT19" s="146"/>
      <c r="BU19" s="146"/>
      <c r="BV19" s="146"/>
      <c r="BW19" s="146"/>
      <c r="BX19" s="146"/>
      <c r="BY19" s="146"/>
      <c r="BZ19" s="146"/>
      <c r="CA19" s="146"/>
      <c r="CF19" s="9"/>
      <c r="DI19" s="19" t="s">
        <v>43</v>
      </c>
      <c r="DJ19" s="111">
        <f>DJ18/(P22*1000)</f>
        <v>0.68067785585491769</v>
      </c>
      <c r="DK19" s="111"/>
      <c r="DL19" s="111"/>
      <c r="DM19" s="111"/>
      <c r="EQ19" s="19" t="s">
        <v>39</v>
      </c>
      <c r="ER19" s="100">
        <f>DJ16</f>
        <v>2.7666399358460305</v>
      </c>
      <c r="ES19" s="100"/>
      <c r="ET19" s="100"/>
      <c r="EU19" s="100"/>
      <c r="FG19" s="2"/>
      <c r="FH19" s="2"/>
      <c r="FI19" s="2"/>
      <c r="FL19" s="3"/>
    </row>
    <row r="20" spans="2:168" ht="18" customHeight="1" x14ac:dyDescent="0.25">
      <c r="B20" s="7"/>
      <c r="AP20" s="9"/>
      <c r="AR20" s="7"/>
      <c r="AS20" s="155" t="s">
        <v>17</v>
      </c>
      <c r="AT20" s="155"/>
      <c r="AU20" s="155"/>
      <c r="AV20" s="155"/>
      <c r="AW20" s="155"/>
      <c r="AX20" s="155"/>
      <c r="AY20" s="155"/>
      <c r="AZ20" s="155"/>
      <c r="BA20" s="155"/>
      <c r="BB20" s="155"/>
      <c r="BC20" s="155"/>
      <c r="BD20" s="155"/>
      <c r="BE20" s="155"/>
      <c r="BF20" s="155"/>
      <c r="BH20" s="145"/>
      <c r="BI20" s="145"/>
      <c r="BJ20" s="145"/>
      <c r="BK20" s="145"/>
      <c r="BL20" s="145"/>
      <c r="BM20" s="145"/>
      <c r="BN20" s="145"/>
      <c r="BO20" s="145"/>
      <c r="BP20" s="145"/>
      <c r="BQ20" s="145"/>
      <c r="BS20" s="147"/>
      <c r="BT20" s="147"/>
      <c r="BU20" s="147"/>
      <c r="BV20" s="147"/>
      <c r="BW20" s="147"/>
      <c r="BX20" s="147"/>
      <c r="BY20" s="147"/>
      <c r="BZ20" s="147"/>
      <c r="CA20" s="147"/>
      <c r="CF20" s="9"/>
      <c r="DI20" s="19" t="s">
        <v>44</v>
      </c>
      <c r="DJ20" s="98">
        <f>1-DJ19</f>
        <v>0.31932214414508231</v>
      </c>
      <c r="DK20" s="100"/>
      <c r="DL20" s="100"/>
      <c r="DM20" s="100"/>
      <c r="EQ20" s="19" t="s">
        <v>40</v>
      </c>
      <c r="ER20" s="100" t="str">
        <f>IMPRODUCT(IMSUM(CI30,CI43),ER7,"1.73+0i",ER19)</f>
        <v>32407.4562822558-2818.19543907465i</v>
      </c>
      <c r="ES20" s="100"/>
      <c r="ET20" s="100"/>
      <c r="EU20" s="100"/>
      <c r="EV20" s="100"/>
      <c r="EW20" s="100"/>
      <c r="EX20" s="100"/>
      <c r="EY20" s="100"/>
      <c r="EZ20" s="100"/>
      <c r="FA20" s="100"/>
      <c r="FB20" s="100"/>
      <c r="FC20" s="100"/>
      <c r="FD20" s="100"/>
      <c r="FE20" s="100"/>
      <c r="FF20" s="100"/>
      <c r="FG20" s="100"/>
      <c r="FH20" s="100"/>
      <c r="FI20" s="100"/>
      <c r="FJ20" s="100"/>
      <c r="FK20" s="100"/>
      <c r="FL20" s="100"/>
    </row>
    <row r="21" spans="2:168" ht="18" customHeight="1" x14ac:dyDescent="0.3">
      <c r="B21" s="7"/>
      <c r="C21" s="106" t="s">
        <v>45</v>
      </c>
      <c r="D21" s="106"/>
      <c r="E21" s="106"/>
      <c r="F21" s="106"/>
      <c r="G21" s="106"/>
      <c r="H21" s="106"/>
      <c r="I21" s="106"/>
      <c r="J21" s="106"/>
      <c r="K21" s="106"/>
      <c r="L21" s="106"/>
      <c r="M21" s="106"/>
      <c r="N21" s="106"/>
      <c r="O21" s="106"/>
      <c r="P21" s="106"/>
      <c r="Q21" s="106"/>
      <c r="R21" s="106"/>
      <c r="S21" s="106"/>
      <c r="T21" s="106"/>
      <c r="W21" s="106" t="s">
        <v>46</v>
      </c>
      <c r="X21" s="106"/>
      <c r="Y21" s="106"/>
      <c r="Z21" s="106"/>
      <c r="AA21" s="106"/>
      <c r="AB21" s="106"/>
      <c r="AC21" s="106"/>
      <c r="AD21" s="106"/>
      <c r="AE21" s="106"/>
      <c r="AF21" s="106"/>
      <c r="AG21" s="106"/>
      <c r="AH21" s="106"/>
      <c r="AI21" s="106"/>
      <c r="AJ21" s="106"/>
      <c r="AK21" s="106"/>
      <c r="AL21" s="106"/>
      <c r="AM21" s="106"/>
      <c r="AN21" s="106"/>
      <c r="AO21" s="106"/>
      <c r="AP21" s="9"/>
      <c r="AR21" s="7"/>
      <c r="AS21" s="22"/>
      <c r="BF21" s="19" t="str">
        <f>"Voltage at Primary (PCC) "&amp;P22&amp;" kV Bus:"</f>
        <v>Voltage at Primary (PCC) 34.5 kV Bus:</v>
      </c>
      <c r="BH21" s="188" t="str">
        <f>ROUND(DJ18/1000,2)&amp;" kV"</f>
        <v>23.48 kV</v>
      </c>
      <c r="BI21" s="186"/>
      <c r="BJ21" s="186"/>
      <c r="BK21" s="186"/>
      <c r="BL21" s="186"/>
      <c r="BM21" s="186"/>
      <c r="BN21" s="186"/>
      <c r="BO21" s="186"/>
      <c r="BP21" s="186"/>
      <c r="BQ21" s="186"/>
      <c r="BS21" s="189" t="str">
        <f>ROUND(ER21/1000,2)&amp;" kV"</f>
        <v>32.53 kV</v>
      </c>
      <c r="BT21" s="187"/>
      <c r="BU21" s="187"/>
      <c r="BV21" s="187"/>
      <c r="BW21" s="187"/>
      <c r="BX21" s="187"/>
      <c r="BY21" s="187"/>
      <c r="BZ21" s="187"/>
      <c r="CA21" s="187"/>
      <c r="CF21" s="9"/>
      <c r="EQ21" s="19" t="s">
        <v>40</v>
      </c>
      <c r="ER21" s="110">
        <f>IMABS(ER20)</f>
        <v>32529.7624986587</v>
      </c>
      <c r="ES21" s="110"/>
      <c r="ET21" s="110"/>
      <c r="EU21" s="110"/>
      <c r="EV21" s="3" t="s">
        <v>9</v>
      </c>
      <c r="EW21" s="93">
        <f>DEGREES(IMARGUMENT(ER20))</f>
        <v>-4.9700140462657121</v>
      </c>
      <c r="EX21" s="93"/>
      <c r="EY21" s="93"/>
      <c r="EZ21" s="1" t="s">
        <v>30</v>
      </c>
      <c r="FG21" s="2"/>
      <c r="FH21" s="2"/>
      <c r="FI21" s="2"/>
      <c r="FL21" s="3"/>
    </row>
    <row r="22" spans="2:168" ht="18" customHeight="1" x14ac:dyDescent="0.25">
      <c r="B22" s="7"/>
      <c r="C22" s="23"/>
      <c r="D22" s="23"/>
      <c r="E22" s="23"/>
      <c r="F22" s="23"/>
      <c r="G22" s="23"/>
      <c r="H22" s="23"/>
      <c r="I22" s="23"/>
      <c r="K22" s="23"/>
      <c r="L22" s="30"/>
      <c r="M22" s="23"/>
      <c r="N22" s="10"/>
      <c r="O22" s="10" t="s">
        <v>47</v>
      </c>
      <c r="P22" s="117">
        <v>34.5</v>
      </c>
      <c r="Q22" s="117"/>
      <c r="R22" s="117"/>
      <c r="S22" s="23" t="s">
        <v>48</v>
      </c>
      <c r="T22" s="23"/>
      <c r="U22" s="23"/>
      <c r="V22" s="23"/>
      <c r="W22" s="23"/>
      <c r="X22" s="23"/>
      <c r="Y22" s="23"/>
      <c r="Z22" s="23"/>
      <c r="AA22" s="23"/>
      <c r="AB22" s="23"/>
      <c r="AC22" s="23"/>
      <c r="AD22" s="23"/>
      <c r="AE22" s="23"/>
      <c r="AF22" s="23"/>
      <c r="AG22" s="30"/>
      <c r="AH22" s="23"/>
      <c r="AI22" s="23"/>
      <c r="AJ22" s="30"/>
      <c r="AK22" s="23"/>
      <c r="AL22" s="23"/>
      <c r="AM22" s="23"/>
      <c r="AN22" s="23"/>
      <c r="AO22" s="23"/>
      <c r="AP22" s="9"/>
      <c r="AR22" s="7"/>
      <c r="BF22" s="19" t="s">
        <v>49</v>
      </c>
      <c r="BH22" s="185">
        <f>DJ19</f>
        <v>0.68067785585491769</v>
      </c>
      <c r="BI22" s="186"/>
      <c r="BJ22" s="186"/>
      <c r="BK22" s="186"/>
      <c r="BL22" s="186"/>
      <c r="BM22" s="186"/>
      <c r="BN22" s="186"/>
      <c r="BO22" s="186"/>
      <c r="BP22" s="186"/>
      <c r="BQ22" s="186"/>
      <c r="BS22" s="126">
        <f>ER22</f>
        <v>0.94289166662778845</v>
      </c>
      <c r="BT22" s="187"/>
      <c r="BU22" s="187"/>
      <c r="BV22" s="187"/>
      <c r="BW22" s="187"/>
      <c r="BX22" s="187"/>
      <c r="BY22" s="187"/>
      <c r="BZ22" s="187"/>
      <c r="CA22" s="187"/>
      <c r="CF22" s="9"/>
      <c r="EQ22" s="19" t="s">
        <v>43</v>
      </c>
      <c r="ER22" s="111">
        <f>ER21/(P22*1000)</f>
        <v>0.94289166662778845</v>
      </c>
      <c r="ES22" s="111"/>
      <c r="ET22" s="111"/>
      <c r="EU22" s="111"/>
      <c r="FG22" s="2"/>
      <c r="FH22" s="2"/>
      <c r="FI22" s="2"/>
      <c r="FL22" s="3"/>
    </row>
    <row r="23" spans="2:168" ht="18" customHeight="1" x14ac:dyDescent="0.25">
      <c r="B23" s="7"/>
      <c r="C23" s="23"/>
      <c r="D23" s="23"/>
      <c r="E23" s="23"/>
      <c r="F23" s="23"/>
      <c r="G23" s="23"/>
      <c r="H23" s="23"/>
      <c r="I23" s="23"/>
      <c r="J23" s="23"/>
      <c r="K23" s="23"/>
      <c r="L23" s="30"/>
      <c r="M23" s="23"/>
      <c r="N23" s="23"/>
      <c r="O23" s="10" t="s">
        <v>50</v>
      </c>
      <c r="P23" s="117">
        <v>1.2</v>
      </c>
      <c r="Q23" s="117"/>
      <c r="R23" s="117"/>
      <c r="S23" s="23" t="s">
        <v>51</v>
      </c>
      <c r="T23" s="23"/>
      <c r="U23" s="23"/>
      <c r="V23" s="23"/>
      <c r="W23" s="23"/>
      <c r="AP23" s="9"/>
      <c r="AR23" s="7"/>
      <c r="BF23" s="19" t="s">
        <v>52</v>
      </c>
      <c r="BH23" s="185">
        <f>DJ20</f>
        <v>0.31932214414508231</v>
      </c>
      <c r="BI23" s="186"/>
      <c r="BJ23" s="186"/>
      <c r="BK23" s="186"/>
      <c r="BL23" s="186"/>
      <c r="BM23" s="186"/>
      <c r="BN23" s="186"/>
      <c r="BO23" s="186"/>
      <c r="BP23" s="186"/>
      <c r="BQ23" s="186"/>
      <c r="BS23" s="126">
        <f>ER23</f>
        <v>5.710833337221155E-2</v>
      </c>
      <c r="BT23" s="187"/>
      <c r="BU23" s="187"/>
      <c r="BV23" s="187"/>
      <c r="BW23" s="187"/>
      <c r="BX23" s="187"/>
      <c r="BY23" s="187"/>
      <c r="BZ23" s="187"/>
      <c r="CA23" s="187"/>
      <c r="CF23" s="9"/>
      <c r="CI23" s="31" t="s">
        <v>53</v>
      </c>
      <c r="EQ23" s="19" t="s">
        <v>44</v>
      </c>
      <c r="ER23" s="98">
        <f>1-ER22</f>
        <v>5.710833337221155E-2</v>
      </c>
      <c r="ES23" s="100"/>
      <c r="ET23" s="100"/>
      <c r="EU23" s="100"/>
      <c r="FG23" s="2"/>
      <c r="FH23" s="2"/>
      <c r="FI23" s="2"/>
      <c r="FL23" s="3"/>
    </row>
    <row r="24" spans="2:168" ht="18" customHeight="1" x14ac:dyDescent="0.25">
      <c r="B24" s="7"/>
      <c r="C24" s="23"/>
      <c r="D24" s="23"/>
      <c r="E24" s="23"/>
      <c r="F24" s="23"/>
      <c r="G24" s="23"/>
      <c r="H24" s="23"/>
      <c r="I24" s="23"/>
      <c r="J24" s="23"/>
      <c r="K24" s="23"/>
      <c r="L24" s="30"/>
      <c r="M24" s="23"/>
      <c r="N24" s="23"/>
      <c r="O24" s="10" t="s">
        <v>54</v>
      </c>
      <c r="P24" s="117">
        <v>7</v>
      </c>
      <c r="Q24" s="117"/>
      <c r="R24" s="117"/>
      <c r="S24" s="23"/>
      <c r="T24" s="23"/>
      <c r="U24" s="23"/>
      <c r="AP24" s="9"/>
      <c r="AR24" s="7"/>
      <c r="BH24" s="76"/>
      <c r="BI24" s="76"/>
      <c r="BJ24" s="76"/>
      <c r="BK24" s="76"/>
      <c r="BL24" s="76"/>
      <c r="BM24" s="76"/>
      <c r="BN24" s="76"/>
      <c r="BO24" s="76"/>
      <c r="BP24" s="76"/>
      <c r="BQ24" s="76"/>
      <c r="BS24" s="20"/>
      <c r="BT24" s="20"/>
      <c r="BU24" s="20"/>
      <c r="BV24" s="20"/>
      <c r="BW24" s="20"/>
      <c r="BX24" s="20"/>
      <c r="BY24" s="20"/>
      <c r="BZ24" s="20"/>
      <c r="CA24" s="20"/>
      <c r="CF24" s="9"/>
      <c r="CI24" s="1" t="s">
        <v>55</v>
      </c>
      <c r="CJ24" s="100">
        <f>COS(ATAN(P24))*(((P22/1.73)/P23)*(P27/P22)^2)</f>
        <v>0.30704459766722847</v>
      </c>
      <c r="CK24" s="100"/>
      <c r="CL24" s="100"/>
      <c r="CM24" s="100"/>
      <c r="CN24" s="100"/>
      <c r="CO24" s="100"/>
      <c r="CP24" s="100"/>
      <c r="CQ24" s="100"/>
      <c r="CR24" s="100"/>
      <c r="CS24" s="100"/>
      <c r="CT24" s="100"/>
      <c r="CU24" s="100"/>
      <c r="CV24" s="100"/>
      <c r="CW24" s="100"/>
      <c r="CX24" s="100"/>
      <c r="CY24" s="100"/>
      <c r="CZ24" s="100"/>
      <c r="DA24" s="100"/>
      <c r="DB24" s="100"/>
      <c r="DC24" s="100"/>
      <c r="DE24" s="1" t="s">
        <v>56</v>
      </c>
      <c r="DJ24" s="100">
        <f>IMABS(CI26)</f>
        <v>2.1711331713719253</v>
      </c>
      <c r="DK24" s="100"/>
      <c r="DL24" s="100"/>
      <c r="DM24" s="100"/>
      <c r="DN24" s="1" t="s">
        <v>9</v>
      </c>
      <c r="DO24" s="100">
        <f>DEGREES(IMARGUMENT(CI26))</f>
        <v>81.869897645844034</v>
      </c>
      <c r="DP24" s="100"/>
      <c r="DQ24" s="100"/>
      <c r="DR24" s="1" t="s">
        <v>56</v>
      </c>
      <c r="FL24" s="3"/>
    </row>
    <row r="25" spans="2:168" ht="18" customHeight="1" x14ac:dyDescent="0.3">
      <c r="B25" s="7"/>
      <c r="C25" s="106" t="s">
        <v>57</v>
      </c>
      <c r="D25" s="106"/>
      <c r="E25" s="106"/>
      <c r="F25" s="106"/>
      <c r="G25" s="106"/>
      <c r="H25" s="106"/>
      <c r="I25" s="106"/>
      <c r="J25" s="106"/>
      <c r="K25" s="106"/>
      <c r="L25" s="106"/>
      <c r="M25" s="106"/>
      <c r="N25" s="106"/>
      <c r="O25" s="106"/>
      <c r="P25" s="106"/>
      <c r="Q25" s="106"/>
      <c r="R25" s="106"/>
      <c r="S25" s="106"/>
      <c r="T25" s="106"/>
      <c r="U25" s="23"/>
      <c r="V25" s="23"/>
      <c r="AP25" s="33"/>
      <c r="AR25" s="7"/>
      <c r="BB25" s="19"/>
      <c r="BC25" s="19"/>
      <c r="BD25" s="19"/>
      <c r="BE25" s="19"/>
      <c r="BF25" s="19" t="str">
        <f>"Voltage at Secondary "&amp;P27&amp;" kV Bus:"</f>
        <v>Voltage at Secondary 12.47 kV Bus:</v>
      </c>
      <c r="BH25" s="190" t="str">
        <f>ROUND(DJ12/1000,2)&amp;" kV"</f>
        <v>7.96 kV</v>
      </c>
      <c r="BI25" s="190"/>
      <c r="BJ25" s="190"/>
      <c r="BK25" s="190"/>
      <c r="BL25" s="190"/>
      <c r="BM25" s="190"/>
      <c r="BN25" s="190"/>
      <c r="BO25" s="190"/>
      <c r="BP25" s="190"/>
      <c r="BQ25" s="190"/>
      <c r="BS25" s="139" t="str">
        <f>ROUND(ER15/1000,2)&amp;" kV"</f>
        <v>11.69 kV</v>
      </c>
      <c r="BT25" s="139"/>
      <c r="BU25" s="139"/>
      <c r="BV25" s="139"/>
      <c r="BW25" s="139"/>
      <c r="BX25" s="139"/>
      <c r="BY25" s="139"/>
      <c r="BZ25" s="139"/>
      <c r="CA25" s="139"/>
      <c r="CF25" s="9"/>
      <c r="CI25" s="1" t="s">
        <v>58</v>
      </c>
      <c r="CJ25" s="100">
        <f>SIN(ATAN(P24))*((P22/1.73)/P23)*(P27/P22)^2</f>
        <v>2.1493121836706002</v>
      </c>
      <c r="CK25" s="100"/>
      <c r="CL25" s="100"/>
      <c r="CM25" s="100"/>
      <c r="CN25" s="100"/>
      <c r="CO25" s="100"/>
      <c r="CP25" s="100"/>
      <c r="CQ25" s="100"/>
      <c r="CR25" s="100"/>
      <c r="CS25" s="100"/>
      <c r="CT25" s="100"/>
      <c r="CU25" s="100"/>
      <c r="CV25" s="100"/>
      <c r="CW25" s="100"/>
      <c r="CX25" s="100"/>
      <c r="CY25" s="100"/>
      <c r="CZ25" s="100"/>
      <c r="DA25" s="100"/>
      <c r="DB25" s="100"/>
      <c r="DC25" s="100"/>
      <c r="DE25" s="1" t="s">
        <v>56</v>
      </c>
      <c r="EP25" s="3" t="s">
        <v>237</v>
      </c>
      <c r="EW25" s="93">
        <f>(-ER15/1.73)/CJ37</f>
        <v>1395.5881814704201</v>
      </c>
      <c r="EX25" s="100"/>
      <c r="EY25" s="100"/>
      <c r="EZ25" s="100"/>
      <c r="FA25" s="100"/>
      <c r="FL25" s="3"/>
    </row>
    <row r="26" spans="2:168" ht="18" customHeight="1" x14ac:dyDescent="0.25">
      <c r="B26" s="7"/>
      <c r="C26" s="23"/>
      <c r="K26" s="23"/>
      <c r="L26" s="30"/>
      <c r="M26" s="23"/>
      <c r="N26" s="10"/>
      <c r="O26" s="10" t="s">
        <v>59</v>
      </c>
      <c r="P26" s="117">
        <v>40</v>
      </c>
      <c r="Q26" s="117"/>
      <c r="R26" s="117"/>
      <c r="S26" s="23" t="s">
        <v>60</v>
      </c>
      <c r="T26" s="23"/>
      <c r="U26" s="23"/>
      <c r="V26" s="23"/>
      <c r="AP26" s="9"/>
      <c r="AR26" s="7"/>
      <c r="BF26" s="19" t="s">
        <v>49</v>
      </c>
      <c r="BH26" s="185">
        <f>DJ14</f>
        <v>0.63831674069623712</v>
      </c>
      <c r="BI26" s="186"/>
      <c r="BJ26" s="186"/>
      <c r="BK26" s="186"/>
      <c r="BL26" s="186"/>
      <c r="BM26" s="186"/>
      <c r="BN26" s="186"/>
      <c r="BO26" s="186"/>
      <c r="BP26" s="186"/>
      <c r="BQ26" s="186"/>
      <c r="BS26" s="126">
        <f>ER17</f>
        <v>0.93709213801829361</v>
      </c>
      <c r="BT26" s="187"/>
      <c r="BU26" s="187"/>
      <c r="BV26" s="187"/>
      <c r="BW26" s="187"/>
      <c r="BX26" s="187"/>
      <c r="BY26" s="187"/>
      <c r="BZ26" s="187"/>
      <c r="CA26" s="187"/>
      <c r="CF26" s="34"/>
      <c r="CI26" s="118" t="str">
        <f>COMPLEX(CJ24,CJ25)</f>
        <v>0.307044597667228+2.1493121836706i</v>
      </c>
      <c r="CJ26" s="118"/>
      <c r="CK26" s="118"/>
      <c r="CL26" s="118"/>
      <c r="CM26" s="118"/>
      <c r="CN26" s="118"/>
      <c r="CO26" s="118"/>
      <c r="CP26" s="118"/>
      <c r="CQ26" s="118"/>
      <c r="CR26" s="118"/>
      <c r="CS26" s="118"/>
      <c r="CT26" s="118"/>
      <c r="CU26" s="118"/>
      <c r="CV26" s="118"/>
      <c r="CW26" s="118"/>
      <c r="CX26" s="118"/>
      <c r="CY26" s="118"/>
      <c r="CZ26" s="118"/>
      <c r="DA26" s="118"/>
      <c r="DB26" s="118"/>
      <c r="DC26" s="118"/>
      <c r="DD26" s="118"/>
      <c r="DE26" s="118"/>
      <c r="DF26" s="118"/>
      <c r="DG26" s="118"/>
      <c r="DH26" s="118"/>
      <c r="DI26" s="118"/>
      <c r="DJ26" s="118"/>
      <c r="DK26" s="118"/>
      <c r="DL26" s="15"/>
      <c r="DM26" s="15" t="s">
        <v>56</v>
      </c>
      <c r="DN26" s="15"/>
      <c r="DO26" s="15"/>
    </row>
    <row r="27" spans="2:168" ht="18" customHeight="1" x14ac:dyDescent="0.35">
      <c r="B27" s="7"/>
      <c r="C27" s="23"/>
      <c r="O27" s="19" t="s">
        <v>61</v>
      </c>
      <c r="P27" s="117">
        <v>12.47</v>
      </c>
      <c r="Q27" s="117"/>
      <c r="R27" s="117"/>
      <c r="S27" s="23" t="s">
        <v>48</v>
      </c>
      <c r="U27" s="23"/>
      <c r="V27" s="23"/>
      <c r="AP27" s="9"/>
      <c r="AR27" s="7"/>
      <c r="BB27" s="19"/>
      <c r="BC27" s="19"/>
      <c r="BD27" s="19"/>
      <c r="BE27" s="19"/>
      <c r="BF27" s="19" t="s">
        <v>52</v>
      </c>
      <c r="BH27" s="185">
        <f>DJ15</f>
        <v>0.36168325930376288</v>
      </c>
      <c r="BI27" s="186"/>
      <c r="BJ27" s="186"/>
      <c r="BK27" s="186"/>
      <c r="BL27" s="186"/>
      <c r="BM27" s="186"/>
      <c r="BN27" s="186"/>
      <c r="BO27" s="186"/>
      <c r="BP27" s="186"/>
      <c r="BQ27" s="186"/>
      <c r="BS27" s="126">
        <f>ER18</f>
        <v>6.2907861981706392E-2</v>
      </c>
      <c r="BT27" s="187"/>
      <c r="BU27" s="187"/>
      <c r="BV27" s="187"/>
      <c r="BW27" s="187"/>
      <c r="BX27" s="187"/>
      <c r="BY27" s="187"/>
      <c r="BZ27" s="187"/>
      <c r="CA27" s="187"/>
      <c r="CF27" s="9"/>
      <c r="CI27" s="31" t="s">
        <v>62</v>
      </c>
    </row>
    <row r="28" spans="2:168" ht="18" customHeight="1" x14ac:dyDescent="0.25">
      <c r="B28" s="7"/>
      <c r="C28" s="23"/>
      <c r="D28" s="23"/>
      <c r="E28" s="23"/>
      <c r="F28" s="23"/>
      <c r="G28" s="23"/>
      <c r="H28" s="23"/>
      <c r="I28" s="23"/>
      <c r="J28" s="23"/>
      <c r="K28" s="23"/>
      <c r="L28" s="30"/>
      <c r="M28" s="23"/>
      <c r="N28" s="23"/>
      <c r="O28" s="10" t="s">
        <v>63</v>
      </c>
      <c r="P28" s="117">
        <v>7.5</v>
      </c>
      <c r="Q28" s="117"/>
      <c r="R28" s="117"/>
      <c r="S28" s="23" t="s">
        <v>64</v>
      </c>
      <c r="T28" s="23"/>
      <c r="U28" s="23"/>
      <c r="V28" s="23"/>
      <c r="W28" s="23"/>
      <c r="AP28" s="9"/>
      <c r="AR28" s="7"/>
      <c r="BH28" s="76"/>
      <c r="BI28" s="76"/>
      <c r="BJ28" s="76"/>
      <c r="BK28" s="76"/>
      <c r="BL28" s="76"/>
      <c r="BM28" s="76"/>
      <c r="BN28" s="76"/>
      <c r="BO28" s="76"/>
      <c r="BP28" s="76"/>
      <c r="BQ28" s="76"/>
      <c r="BS28" s="20"/>
      <c r="BT28" s="20"/>
      <c r="BU28" s="20"/>
      <c r="BV28" s="20"/>
      <c r="BW28" s="20"/>
      <c r="BX28" s="20"/>
      <c r="BY28" s="20"/>
      <c r="BZ28" s="20"/>
      <c r="CA28" s="20"/>
      <c r="CF28" s="9"/>
      <c r="CI28" s="1" t="s">
        <v>55</v>
      </c>
      <c r="CJ28" s="109">
        <f>COS(ATAN(P29))*((P27^2)/P26)*(P28/100)</f>
        <v>1.0170567005981216E-2</v>
      </c>
      <c r="CK28" s="109"/>
      <c r="CL28" s="109"/>
      <c r="CM28" s="109"/>
      <c r="CN28" s="109"/>
      <c r="CO28" s="109"/>
      <c r="CP28" s="109"/>
      <c r="CQ28" s="109"/>
      <c r="CR28" s="109"/>
      <c r="CS28" s="109"/>
      <c r="CT28" s="109"/>
      <c r="CU28" s="109"/>
      <c r="CV28" s="109"/>
      <c r="CW28" s="109"/>
      <c r="CX28" s="109"/>
      <c r="CY28" s="109"/>
      <c r="CZ28" s="109"/>
      <c r="DA28" s="109"/>
      <c r="DB28" s="109"/>
      <c r="DC28" s="109"/>
      <c r="DE28" s="1" t="s">
        <v>56</v>
      </c>
      <c r="DJ28" s="100">
        <f>IMABS(CI30)</f>
        <v>0.29156418750000029</v>
      </c>
      <c r="DK28" s="100"/>
      <c r="DL28" s="100"/>
      <c r="DM28" s="100"/>
      <c r="DN28" s="1" t="s">
        <v>9</v>
      </c>
      <c r="DO28" s="100">
        <f>DEGREES(IMARGUMENT(CI30))</f>
        <v>88.000958852439268</v>
      </c>
      <c r="DP28" s="100"/>
      <c r="DQ28" s="100"/>
      <c r="DR28" s="1" t="s">
        <v>56</v>
      </c>
    </row>
    <row r="29" spans="2:168" ht="18" customHeight="1" x14ac:dyDescent="0.25">
      <c r="B29" s="7"/>
      <c r="J29" s="23"/>
      <c r="K29" s="23"/>
      <c r="L29" s="30"/>
      <c r="M29" s="23"/>
      <c r="N29" s="23"/>
      <c r="O29" s="10" t="s">
        <v>54</v>
      </c>
      <c r="P29" s="117">
        <v>28.65</v>
      </c>
      <c r="Q29" s="117"/>
      <c r="R29" s="117"/>
      <c r="S29" s="23"/>
      <c r="T29" s="23"/>
      <c r="U29" s="23"/>
      <c r="V29" s="23"/>
      <c r="W29" s="23"/>
      <c r="AP29" s="9"/>
      <c r="AR29" s="7"/>
      <c r="BF29" s="19" t="str">
        <f>"Starting Current Seen by "&amp;P22&amp;" kV System:"</f>
        <v>Starting Current Seen by 34.5 kV System:</v>
      </c>
      <c r="BH29" s="191" t="str">
        <f>ROUND(DJ8/DJ16,0)&amp;" amps"</f>
        <v>384 amps</v>
      </c>
      <c r="BI29" s="186"/>
      <c r="BJ29" s="186"/>
      <c r="BK29" s="186"/>
      <c r="BL29" s="186"/>
      <c r="BM29" s="186"/>
      <c r="BN29" s="186"/>
      <c r="BO29" s="186"/>
      <c r="BP29" s="186"/>
      <c r="BQ29" s="186"/>
      <c r="BS29" s="132" t="str">
        <f>ROUND(ER8/DJ16,0)&amp;" amps"</f>
        <v>122 amps</v>
      </c>
      <c r="BT29" s="187"/>
      <c r="BU29" s="187"/>
      <c r="BV29" s="187"/>
      <c r="BW29" s="187"/>
      <c r="BX29" s="187"/>
      <c r="BY29" s="187"/>
      <c r="BZ29" s="187"/>
      <c r="CA29" s="187"/>
      <c r="CF29" s="9"/>
      <c r="CI29" s="1" t="s">
        <v>58</v>
      </c>
      <c r="CJ29" s="100">
        <f>SIN(ATAN(P29))*((P27^2)/P26)*(P28/100)</f>
        <v>0.29138674472136172</v>
      </c>
      <c r="CK29" s="100"/>
      <c r="CL29" s="100"/>
      <c r="CM29" s="100"/>
      <c r="CN29" s="100"/>
      <c r="CO29" s="100"/>
      <c r="CP29" s="100"/>
      <c r="CQ29" s="100"/>
      <c r="CR29" s="100"/>
      <c r="CS29" s="100"/>
      <c r="CT29" s="100"/>
      <c r="CU29" s="100"/>
      <c r="CV29" s="100"/>
      <c r="CW29" s="100"/>
      <c r="CX29" s="100"/>
      <c r="CY29" s="100"/>
      <c r="CZ29" s="100"/>
      <c r="DA29" s="100"/>
      <c r="DB29" s="100"/>
      <c r="DC29" s="100"/>
      <c r="DE29" s="1" t="s">
        <v>56</v>
      </c>
    </row>
    <row r="30" spans="2:168" ht="18" customHeight="1" x14ac:dyDescent="0.3">
      <c r="B30" s="7"/>
      <c r="C30" s="106" t="s">
        <v>65</v>
      </c>
      <c r="D30" s="106"/>
      <c r="E30" s="106"/>
      <c r="F30" s="106"/>
      <c r="G30" s="106"/>
      <c r="H30" s="106"/>
      <c r="I30" s="106"/>
      <c r="J30" s="106"/>
      <c r="K30" s="106"/>
      <c r="L30" s="106"/>
      <c r="M30" s="106"/>
      <c r="N30" s="106"/>
      <c r="O30" s="106"/>
      <c r="P30" s="106"/>
      <c r="Q30" s="106"/>
      <c r="R30" s="106"/>
      <c r="S30" s="106"/>
      <c r="T30" s="106"/>
      <c r="U30" s="23"/>
      <c r="V30" s="23"/>
      <c r="W30" s="23"/>
      <c r="AB30" s="19" t="str">
        <f>P22&amp;"kV Bus"</f>
        <v>34.5kV Bus</v>
      </c>
      <c r="AL30" s="1" t="str">
        <f>"Isc: "&amp;P23&amp;"kA"</f>
        <v>Isc: 1.2kA</v>
      </c>
      <c r="AP30" s="9"/>
      <c r="AR30" s="7"/>
      <c r="BF30" s="19" t="str">
        <f>"Percent of Motor FLA at "&amp;P22&amp;" kV:"</f>
        <v>Percent of Motor FLA at 34.5 kV:</v>
      </c>
      <c r="BH30" s="185">
        <f>DJ9</f>
        <v>3.015079453212909</v>
      </c>
      <c r="BI30" s="186"/>
      <c r="BJ30" s="186"/>
      <c r="BK30" s="186"/>
      <c r="BL30" s="186"/>
      <c r="BM30" s="186"/>
      <c r="BN30" s="186"/>
      <c r="BO30" s="186"/>
      <c r="BP30" s="186"/>
      <c r="BQ30" s="186"/>
      <c r="BS30" s="126">
        <f>ER9</f>
        <v>0.95988207829656502</v>
      </c>
      <c r="BT30" s="187"/>
      <c r="BU30" s="187"/>
      <c r="BV30" s="187"/>
      <c r="BW30" s="187"/>
      <c r="BX30" s="187"/>
      <c r="BY30" s="187"/>
      <c r="BZ30" s="187"/>
      <c r="CA30" s="187"/>
      <c r="CF30" s="9"/>
      <c r="CI30" s="118" t="str">
        <f>COMPLEX(CJ28,CJ29)</f>
        <v>0.0101705670059812+0.291386744721362i</v>
      </c>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5"/>
      <c r="DM30" s="15" t="s">
        <v>56</v>
      </c>
      <c r="DN30" s="15"/>
    </row>
    <row r="31" spans="2:168" ht="18" customHeight="1" x14ac:dyDescent="0.25">
      <c r="B31" s="7"/>
      <c r="C31" s="23"/>
      <c r="K31" s="23"/>
      <c r="L31" s="30"/>
      <c r="M31" s="23"/>
      <c r="N31" s="10"/>
      <c r="O31" s="10" t="s">
        <v>66</v>
      </c>
      <c r="P31" s="117">
        <v>13.2</v>
      </c>
      <c r="Q31" s="117"/>
      <c r="R31" s="117"/>
      <c r="S31" s="23" t="s">
        <v>48</v>
      </c>
      <c r="T31" s="23"/>
      <c r="U31" s="23"/>
      <c r="V31" s="23"/>
      <c r="W31" s="23"/>
      <c r="AL31" s="1" t="str">
        <f>"X/R: "&amp;P24</f>
        <v>X/R: 7</v>
      </c>
      <c r="AP31" s="9"/>
      <c r="AR31" s="7"/>
      <c r="BH31" s="76"/>
      <c r="BI31" s="76"/>
      <c r="BJ31" s="76"/>
      <c r="BK31" s="76"/>
      <c r="BL31" s="76"/>
      <c r="BM31" s="76"/>
      <c r="BN31" s="76"/>
      <c r="BO31" s="76"/>
      <c r="BP31" s="76"/>
      <c r="BQ31" s="76"/>
      <c r="BS31" s="20"/>
      <c r="BT31" s="20"/>
      <c r="BU31" s="20"/>
      <c r="BV31" s="20"/>
      <c r="BW31" s="20"/>
      <c r="BX31" s="20"/>
      <c r="BY31" s="20"/>
      <c r="BZ31" s="20"/>
      <c r="CA31" s="20"/>
      <c r="CF31" s="9"/>
      <c r="CI31" s="31" t="s">
        <v>67</v>
      </c>
    </row>
    <row r="32" spans="2:168" ht="18" customHeight="1" x14ac:dyDescent="0.25">
      <c r="B32" s="7"/>
      <c r="C32" s="23"/>
      <c r="D32" s="23"/>
      <c r="K32" s="23"/>
      <c r="L32" s="30"/>
      <c r="M32" s="23"/>
      <c r="N32" s="10"/>
      <c r="O32" s="10" t="s">
        <v>68</v>
      </c>
      <c r="P32" s="117">
        <v>9923</v>
      </c>
      <c r="Q32" s="117"/>
      <c r="R32" s="117"/>
      <c r="S32" s="23" t="s">
        <v>69</v>
      </c>
      <c r="T32" s="23"/>
      <c r="U32" s="23"/>
      <c r="V32" s="23"/>
      <c r="W32" s="23"/>
      <c r="AG32" s="1" t="str">
        <f>P26&amp;" MVA"</f>
        <v>40 MVA</v>
      </c>
      <c r="AP32" s="9"/>
      <c r="AR32" s="7"/>
      <c r="BF32" s="19" t="str">
        <f>"Starting Current Seen by "&amp;P27&amp;" kV System:"</f>
        <v>Starting Current Seen by 12.47 kV System:</v>
      </c>
      <c r="BH32" s="188" t="str">
        <f>ROUND(DJ8,0)&amp;" amps"</f>
        <v>1061 amps</v>
      </c>
      <c r="BI32" s="188"/>
      <c r="BJ32" s="188"/>
      <c r="BK32" s="188"/>
      <c r="BL32" s="188"/>
      <c r="BM32" s="188"/>
      <c r="BN32" s="188"/>
      <c r="BO32" s="188"/>
      <c r="BP32" s="188"/>
      <c r="BQ32" s="188"/>
      <c r="BS32" s="132" t="str">
        <f>ROUND(ER8,0)&amp;" amps"</f>
        <v>338 amps</v>
      </c>
      <c r="BT32" s="187"/>
      <c r="BU32" s="187"/>
      <c r="BV32" s="187"/>
      <c r="BW32" s="187"/>
      <c r="BX32" s="187"/>
      <c r="BY32" s="187"/>
      <c r="BZ32" s="187"/>
      <c r="CA32" s="187"/>
      <c r="CF32" s="9"/>
      <c r="CI32" s="1" t="s">
        <v>55</v>
      </c>
      <c r="CJ32" s="100">
        <f>COS(ACOS(P37/100))*(((1000*P31/1.73))/P33)/(P36/100)</f>
        <v>0.86729841471647795</v>
      </c>
      <c r="CK32" s="100"/>
      <c r="CL32" s="100"/>
      <c r="CM32" s="100"/>
      <c r="CN32" s="100"/>
      <c r="CO32" s="100"/>
      <c r="CP32" s="100"/>
      <c r="CQ32" s="100"/>
      <c r="CR32" s="100"/>
      <c r="CS32" s="100"/>
      <c r="CT32" s="100"/>
      <c r="CU32" s="100"/>
      <c r="CV32" s="100"/>
      <c r="CW32" s="100"/>
      <c r="CX32" s="100"/>
      <c r="CY32" s="100"/>
      <c r="CZ32" s="100"/>
      <c r="DA32" s="100"/>
      <c r="DB32" s="100"/>
      <c r="DC32" s="100"/>
      <c r="DE32" s="1" t="s">
        <v>56</v>
      </c>
      <c r="DJ32" s="100">
        <f>IMABS(CI34)</f>
        <v>4.3364920735823826</v>
      </c>
      <c r="DK32" s="100"/>
      <c r="DL32" s="100"/>
      <c r="DM32" s="100"/>
      <c r="DN32" s="1" t="s">
        <v>9</v>
      </c>
      <c r="DO32" s="100">
        <f>DEGREES(IMARGUMENT(CI34))</f>
        <v>78.463040967184497</v>
      </c>
      <c r="DP32" s="100"/>
      <c r="DQ32" s="100"/>
      <c r="DR32" s="1" t="s">
        <v>56</v>
      </c>
    </row>
    <row r="33" spans="2:249" ht="18" customHeight="1" x14ac:dyDescent="0.25">
      <c r="B33" s="7"/>
      <c r="C33" s="23"/>
      <c r="D33" s="23"/>
      <c r="E33" s="23"/>
      <c r="F33" s="23"/>
      <c r="G33" s="23"/>
      <c r="H33" s="23"/>
      <c r="I33" s="23"/>
      <c r="J33" s="23"/>
      <c r="K33" s="23"/>
      <c r="L33" s="30"/>
      <c r="M33" s="23"/>
      <c r="N33" s="23"/>
      <c r="O33" s="10" t="s">
        <v>70</v>
      </c>
      <c r="P33" s="117">
        <v>351.9</v>
      </c>
      <c r="Q33" s="117"/>
      <c r="R33" s="117"/>
      <c r="S33" s="23" t="s">
        <v>10</v>
      </c>
      <c r="T33" s="23"/>
      <c r="V33" s="23"/>
      <c r="W33" s="23"/>
      <c r="AG33" s="74" t="str">
        <f>P28&amp;"%"</f>
        <v>7.5%</v>
      </c>
      <c r="AP33" s="9"/>
      <c r="AR33" s="7"/>
      <c r="BF33" s="19" t="str">
        <f>"Percent of Motor FLA at "&amp;P27&amp;" kV:"</f>
        <v>Percent of Motor FLA at 12.47 kV:</v>
      </c>
      <c r="BH33" s="185">
        <f>DJ9</f>
        <v>3.015079453212909</v>
      </c>
      <c r="BI33" s="186"/>
      <c r="BJ33" s="186"/>
      <c r="BK33" s="186"/>
      <c r="BL33" s="186"/>
      <c r="BM33" s="186"/>
      <c r="BN33" s="186"/>
      <c r="BO33" s="186"/>
      <c r="BP33" s="186"/>
      <c r="BQ33" s="186"/>
      <c r="BS33" s="126">
        <f>ER9</f>
        <v>0.95988207829656502</v>
      </c>
      <c r="BT33" s="126"/>
      <c r="BU33" s="126"/>
      <c r="BV33" s="126"/>
      <c r="BW33" s="126"/>
      <c r="BX33" s="126"/>
      <c r="BY33" s="126"/>
      <c r="BZ33" s="126"/>
      <c r="CA33" s="126"/>
      <c r="CF33" s="9"/>
      <c r="CI33" s="1" t="s">
        <v>58</v>
      </c>
      <c r="CJ33" s="100">
        <f>SIN(ACOS(P37/100))*(((1000*P31/1.73))/P33)/(P36/100)</f>
        <v>4.2488771415602447</v>
      </c>
      <c r="CK33" s="100"/>
      <c r="CL33" s="100"/>
      <c r="CM33" s="100"/>
      <c r="CN33" s="100"/>
      <c r="CO33" s="100"/>
      <c r="CP33" s="100"/>
      <c r="CQ33" s="100"/>
      <c r="CR33" s="100"/>
      <c r="CS33" s="100"/>
      <c r="CT33" s="100"/>
      <c r="CU33" s="100"/>
      <c r="CV33" s="100"/>
      <c r="CW33" s="100"/>
      <c r="CX33" s="100"/>
      <c r="CY33" s="100"/>
      <c r="CZ33" s="100"/>
      <c r="DA33" s="100"/>
      <c r="DB33" s="100"/>
      <c r="DC33" s="100"/>
      <c r="DE33" s="1" t="s">
        <v>56</v>
      </c>
      <c r="DX33" s="35"/>
      <c r="DY33" s="36"/>
      <c r="DZ33" s="36"/>
      <c r="EA33" s="37"/>
    </row>
    <row r="34" spans="2:249" ht="18" customHeight="1" x14ac:dyDescent="0.25">
      <c r="B34" s="7"/>
      <c r="E34" s="23"/>
      <c r="F34" s="23"/>
      <c r="G34" s="23"/>
      <c r="H34" s="23"/>
      <c r="I34" s="23"/>
      <c r="J34" s="23"/>
      <c r="K34" s="23"/>
      <c r="L34" s="30"/>
      <c r="M34" s="23"/>
      <c r="N34" s="23"/>
      <c r="O34" s="10" t="s">
        <v>71</v>
      </c>
      <c r="P34" s="117">
        <v>90</v>
      </c>
      <c r="Q34" s="117"/>
      <c r="R34" s="117"/>
      <c r="S34" s="23" t="s">
        <v>64</v>
      </c>
      <c r="T34" s="23"/>
      <c r="U34" s="23"/>
      <c r="V34" s="23"/>
      <c r="W34" s="23"/>
      <c r="Z34" s="19" t="str">
        <f>P27&amp;"kV Bus"</f>
        <v>12.47kV Bus</v>
      </c>
      <c r="AP34" s="9"/>
      <c r="AR34" s="7"/>
      <c r="BS34" s="29"/>
      <c r="BT34" s="29"/>
      <c r="BU34" s="29"/>
      <c r="BV34" s="29"/>
      <c r="BW34" s="29"/>
      <c r="BX34" s="29"/>
      <c r="BY34" s="29"/>
      <c r="BZ34" s="29"/>
      <c r="CA34" s="29"/>
      <c r="CF34" s="9"/>
      <c r="CI34" s="118" t="str">
        <f>COMPLEX(CJ32,CJ33)</f>
        <v>0.867298414716478+4.24887714156024i</v>
      </c>
      <c r="CJ34" s="118"/>
      <c r="CK34" s="118"/>
      <c r="CL34" s="118"/>
      <c r="CM34" s="118"/>
      <c r="CN34" s="118"/>
      <c r="CO34" s="118"/>
      <c r="CP34" s="118"/>
      <c r="CQ34" s="118"/>
      <c r="CR34" s="118"/>
      <c r="CS34" s="118"/>
      <c r="CT34" s="118"/>
      <c r="CU34" s="118"/>
      <c r="CV34" s="118"/>
      <c r="CW34" s="118"/>
      <c r="CX34" s="118"/>
      <c r="CY34" s="118"/>
      <c r="CZ34" s="118"/>
      <c r="DA34" s="118"/>
      <c r="DB34" s="118"/>
      <c r="DC34" s="118"/>
      <c r="DD34" s="118"/>
      <c r="DE34" s="118"/>
      <c r="DF34" s="118"/>
      <c r="DG34" s="118"/>
      <c r="DH34" s="118"/>
      <c r="DI34" s="118"/>
      <c r="DJ34" s="118"/>
      <c r="DK34" s="118"/>
      <c r="DL34" s="15"/>
      <c r="DM34" s="15" t="s">
        <v>56</v>
      </c>
      <c r="DN34" s="15"/>
      <c r="DX34" s="35"/>
      <c r="DY34" s="36"/>
      <c r="DZ34" s="36"/>
      <c r="EA34" s="37"/>
    </row>
    <row r="35" spans="2:249" ht="18" customHeight="1" x14ac:dyDescent="0.25">
      <c r="B35" s="7"/>
      <c r="O35" s="19" t="s">
        <v>72</v>
      </c>
      <c r="P35" s="117">
        <v>97.4</v>
      </c>
      <c r="Q35" s="117"/>
      <c r="R35" s="117"/>
      <c r="S35" s="1" t="s">
        <v>64</v>
      </c>
      <c r="U35" s="23"/>
      <c r="V35" s="23"/>
      <c r="W35" s="23"/>
      <c r="AP35" s="9"/>
      <c r="AR35" s="7"/>
      <c r="AS35" s="121" t="str">
        <f>"Voltage change per stage at the "&amp;P27&amp;" kV Bus:"</f>
        <v>Voltage change per stage at the 12.47 kV Bus:</v>
      </c>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2" t="str">
        <f>"±"&amp;ROUND((100*P40/P41)/DN50/2,2)&amp;"%"</f>
        <v>±7.12%</v>
      </c>
      <c r="BT35" s="122"/>
      <c r="BU35" s="122"/>
      <c r="BV35" s="122"/>
      <c r="BW35" s="122"/>
      <c r="BX35" s="122"/>
      <c r="BY35" s="122"/>
      <c r="BZ35" s="122"/>
      <c r="CA35" s="122"/>
      <c r="CF35" s="9"/>
      <c r="CI35" s="31" t="s">
        <v>73</v>
      </c>
      <c r="DX35" s="35"/>
      <c r="DY35" s="36"/>
      <c r="DZ35" s="36"/>
      <c r="EA35" s="37"/>
      <c r="HC35" s="155"/>
      <c r="HD35" s="155"/>
      <c r="HE35" s="155"/>
      <c r="HF35" s="155"/>
      <c r="HG35" s="155"/>
      <c r="HH35" s="155"/>
      <c r="HI35" s="155"/>
      <c r="HJ35" s="155"/>
      <c r="HK35" s="155"/>
      <c r="HL35" s="155"/>
      <c r="HM35" s="155"/>
      <c r="HN35" s="155"/>
      <c r="HO35" s="155"/>
      <c r="HP35" s="155"/>
      <c r="HQ35" s="155"/>
      <c r="HR35" s="155"/>
      <c r="HS35" s="155"/>
      <c r="HT35" s="155"/>
      <c r="HU35" s="155"/>
      <c r="HV35" s="155"/>
      <c r="HW35" s="155"/>
      <c r="HX35" s="155"/>
      <c r="HY35" s="155"/>
      <c r="HZ35" s="155"/>
      <c r="IA35" s="155"/>
      <c r="IB35" s="155"/>
      <c r="IC35" s="155"/>
      <c r="ID35" s="155"/>
      <c r="IE35" s="155"/>
      <c r="IF35" s="155"/>
      <c r="IG35" s="155"/>
      <c r="IH35" s="155"/>
      <c r="II35" s="155"/>
      <c r="IJ35" s="155"/>
      <c r="IK35" s="155"/>
      <c r="IL35" s="155"/>
      <c r="IM35" s="155"/>
      <c r="IN35" s="155"/>
      <c r="IO35" s="155"/>
    </row>
    <row r="36" spans="2:249" ht="18" customHeight="1" x14ac:dyDescent="0.25">
      <c r="B36" s="7"/>
      <c r="O36" s="10" t="s">
        <v>74</v>
      </c>
      <c r="P36" s="117">
        <v>500</v>
      </c>
      <c r="Q36" s="117"/>
      <c r="R36" s="117"/>
      <c r="S36" s="1" t="s">
        <v>64</v>
      </c>
      <c r="U36" s="23"/>
      <c r="V36" s="23"/>
      <c r="W36" s="23"/>
      <c r="AK36" s="1" t="str">
        <f>TEXT(P32,"#,##0") &amp; " HP Motor"</f>
        <v>9,923 HP Motor</v>
      </c>
      <c r="AP36" s="9"/>
      <c r="AR36" s="7"/>
      <c r="CF36" s="9"/>
      <c r="CI36" s="1" t="s">
        <v>55</v>
      </c>
      <c r="CJ36" s="100">
        <v>0</v>
      </c>
      <c r="CK36" s="100"/>
      <c r="CL36" s="100"/>
      <c r="CM36" s="100"/>
      <c r="CN36" s="100"/>
      <c r="CO36" s="100"/>
      <c r="CP36" s="100"/>
      <c r="CQ36" s="100"/>
      <c r="CR36" s="100"/>
      <c r="CS36" s="100"/>
      <c r="CT36" s="100"/>
      <c r="CU36" s="100"/>
      <c r="CV36" s="100"/>
      <c r="CW36" s="100"/>
      <c r="CX36" s="100"/>
      <c r="CY36" s="100"/>
      <c r="CZ36" s="100"/>
      <c r="DA36" s="100"/>
      <c r="DB36" s="100"/>
      <c r="DC36" s="100"/>
      <c r="DD36" s="100"/>
      <c r="DF36" s="1" t="s">
        <v>56</v>
      </c>
      <c r="DX36" s="35"/>
      <c r="DY36" s="36"/>
      <c r="DZ36" s="36"/>
      <c r="EA36" s="37"/>
      <c r="HC36" s="23"/>
      <c r="HD36" s="23"/>
      <c r="HE36" s="23"/>
      <c r="HF36" s="23"/>
      <c r="HG36" s="23"/>
      <c r="HH36" s="23"/>
      <c r="HI36" s="23"/>
      <c r="HJ36" s="23"/>
      <c r="HK36" s="23"/>
      <c r="HL36" s="23"/>
      <c r="HM36" s="23"/>
      <c r="HN36" s="23"/>
      <c r="HO36" s="23"/>
      <c r="HP36" s="23"/>
      <c r="HQ36" s="23"/>
      <c r="HR36" s="30"/>
      <c r="HS36" s="168"/>
      <c r="HT36" s="169"/>
      <c r="HU36" s="170"/>
      <c r="HV36" s="38"/>
      <c r="HW36" s="23"/>
      <c r="HX36" s="23"/>
      <c r="HY36" s="23"/>
      <c r="HZ36" s="23"/>
      <c r="IA36" s="23"/>
      <c r="IB36" s="23"/>
      <c r="IC36" s="23"/>
      <c r="ID36" s="23"/>
      <c r="IE36" s="23"/>
      <c r="IF36" s="23"/>
      <c r="IG36" s="23"/>
      <c r="IH36" s="23"/>
      <c r="II36" s="23"/>
      <c r="IJ36" s="23"/>
      <c r="IK36" s="23"/>
      <c r="IL36" s="23"/>
      <c r="IM36" s="23"/>
      <c r="IN36" s="23"/>
      <c r="IO36" s="23"/>
    </row>
    <row r="37" spans="2:249" ht="18" customHeight="1" x14ac:dyDescent="0.25">
      <c r="B37" s="7"/>
      <c r="O37" s="19" t="s">
        <v>75</v>
      </c>
      <c r="P37" s="117">
        <v>20</v>
      </c>
      <c r="Q37" s="117"/>
      <c r="R37" s="117"/>
      <c r="S37" s="1" t="s">
        <v>64</v>
      </c>
      <c r="U37" s="23"/>
      <c r="V37" s="23"/>
      <c r="W37" s="23"/>
      <c r="AL37" s="1" t="str">
        <f>"FLA: "&amp;P33&amp;"A"</f>
        <v>FLA: 351.9A</v>
      </c>
      <c r="AP37" s="9"/>
      <c r="AR37" s="7"/>
      <c r="AS37" s="82" t="s">
        <v>211</v>
      </c>
      <c r="AT37" s="82"/>
      <c r="AU37" s="83"/>
      <c r="AV37" s="83"/>
      <c r="AW37" s="83"/>
      <c r="AX37" s="83"/>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9"/>
      <c r="CI37" s="1" t="s">
        <v>58</v>
      </c>
      <c r="CJ37" s="100">
        <f>IF(P40=0,1E+99,-P39*P39/P40)</f>
        <v>-4.84</v>
      </c>
      <c r="CK37" s="100"/>
      <c r="CL37" s="100"/>
      <c r="CM37" s="100"/>
      <c r="CN37" s="100"/>
      <c r="CO37" s="100"/>
      <c r="CP37" s="100"/>
      <c r="CQ37" s="100"/>
      <c r="CR37" s="100"/>
      <c r="CS37" s="100"/>
      <c r="CT37" s="100"/>
      <c r="CU37" s="100"/>
      <c r="CV37" s="100"/>
      <c r="CW37" s="100"/>
      <c r="CX37" s="100"/>
      <c r="CY37" s="100"/>
      <c r="CZ37" s="100"/>
      <c r="DA37" s="100"/>
      <c r="DB37" s="100"/>
      <c r="DC37" s="100"/>
      <c r="DD37" s="100"/>
      <c r="DF37" s="1" t="s">
        <v>56</v>
      </c>
      <c r="DM37" s="1" t="s">
        <v>56</v>
      </c>
      <c r="DX37" s="35"/>
      <c r="DY37" s="36"/>
      <c r="DZ37" s="36"/>
      <c r="EA37" s="37"/>
      <c r="HC37" s="23"/>
      <c r="HD37" s="23"/>
      <c r="HE37" s="23"/>
      <c r="HF37" s="23"/>
      <c r="HG37" s="23"/>
      <c r="HH37" s="23"/>
      <c r="HI37" s="23"/>
      <c r="HJ37" s="23"/>
      <c r="HK37" s="23"/>
      <c r="HL37" s="23"/>
      <c r="HM37" s="23"/>
      <c r="HN37" s="39"/>
      <c r="HO37" s="176"/>
      <c r="HP37" s="176"/>
      <c r="HQ37" s="176"/>
      <c r="HR37" s="23"/>
      <c r="HS37" s="23"/>
      <c r="HT37" s="23"/>
      <c r="HU37" s="23"/>
      <c r="HV37" s="23"/>
      <c r="HW37" s="23"/>
      <c r="HX37" s="23"/>
      <c r="HY37" s="23"/>
      <c r="HZ37" s="23"/>
      <c r="IA37" s="23"/>
      <c r="IB37" s="23"/>
      <c r="IC37" s="23"/>
      <c r="ID37" s="23"/>
      <c r="IE37" s="23"/>
      <c r="IF37" s="23"/>
      <c r="IG37" s="23"/>
      <c r="IH37" s="23"/>
      <c r="II37" s="30"/>
      <c r="IJ37" s="93"/>
      <c r="IK37" s="93"/>
      <c r="IL37" s="93"/>
      <c r="IM37" s="23"/>
      <c r="IN37" s="23"/>
      <c r="IO37" s="23"/>
    </row>
    <row r="38" spans="2:249" ht="18" customHeight="1" x14ac:dyDescent="0.3">
      <c r="B38" s="7"/>
      <c r="C38" s="106" t="s">
        <v>76</v>
      </c>
      <c r="D38" s="106"/>
      <c r="E38" s="106"/>
      <c r="F38" s="106"/>
      <c r="G38" s="106"/>
      <c r="H38" s="106"/>
      <c r="I38" s="106"/>
      <c r="J38" s="106"/>
      <c r="K38" s="106"/>
      <c r="L38" s="106"/>
      <c r="M38" s="106"/>
      <c r="N38" s="106"/>
      <c r="O38" s="106"/>
      <c r="P38" s="106"/>
      <c r="Q38" s="106"/>
      <c r="R38" s="106"/>
      <c r="S38" s="106"/>
      <c r="T38" s="106"/>
      <c r="AL38" s="1" t="str">
        <f>"LRA: "&amp;P36&amp;"%"</f>
        <v>LRA: 500%</v>
      </c>
      <c r="AP38" s="9"/>
      <c r="AR38" s="7"/>
      <c r="AS38" s="193" t="str">
        <f>"The MotorVar reduces the "&amp;P27&amp;"kV system's inrush current from "&amp;BH32&amp;" ("&amp;ROUND(100*BH12,0)&amp;" %FLA) to "&amp;BS32&amp;" amps ("&amp;ROUND(100*BS30,1)&amp;" % of FLA). As a result, the "&amp;P27&amp;" kV busimproves from "&amp;ROUND(BH26*100,1)&amp;"% to "&amp;ROUND(BS26*100,1)&amp;"% of nominal, while the "&amp;P22&amp;" kV primary voltage improves from "&amp;ROUND(BH22*100,1)&amp;"% to "&amp;ROUND(100*BS22,1)&amp;"% of nominal during motor starting. The higher motor terminal voltage increased available starting torqe from "&amp;ROUND(BH15*100,1)&amp;"% to "&amp;ROUND(BS15*100,1)&amp;"%."</f>
        <v>The MotorVar reduces the 12.47kV system's inrush current from 1061 amps (302 %FLA) to 338 amps amps (96 % of FLA). As a result, the 12.47 kV busimproves from 63.8% to 93.7% of nominal, while the 34.5 kV primary voltage improves from 68.1% to 94.3% of nominal during motor starting. The higher motor terminal voltage increased available starting torqe from 36.4% to 78.4%.</v>
      </c>
      <c r="AT38" s="193"/>
      <c r="AU38" s="193"/>
      <c r="AV38" s="193"/>
      <c r="AW38" s="193"/>
      <c r="AX38" s="193"/>
      <c r="AY38" s="193"/>
      <c r="AZ38" s="193"/>
      <c r="BA38" s="193"/>
      <c r="BB38" s="193"/>
      <c r="BC38" s="193"/>
      <c r="BD38" s="193"/>
      <c r="BE38" s="193"/>
      <c r="BF38" s="193"/>
      <c r="BG38" s="193"/>
      <c r="BH38" s="193"/>
      <c r="BI38" s="193"/>
      <c r="BJ38" s="193"/>
      <c r="BK38" s="193"/>
      <c r="BL38" s="193"/>
      <c r="BM38" s="193"/>
      <c r="BN38" s="193"/>
      <c r="BO38" s="193"/>
      <c r="BP38" s="193"/>
      <c r="BQ38" s="193"/>
      <c r="BR38" s="193"/>
      <c r="BS38" s="193"/>
      <c r="BT38" s="193"/>
      <c r="BU38" s="193"/>
      <c r="BV38" s="193"/>
      <c r="BW38" s="193"/>
      <c r="BX38" s="193"/>
      <c r="BY38" s="193"/>
      <c r="BZ38" s="193"/>
      <c r="CA38" s="193"/>
      <c r="CB38" s="193"/>
      <c r="CC38" s="193"/>
      <c r="CD38" s="193"/>
      <c r="CE38" s="193"/>
      <c r="CF38" s="9"/>
      <c r="CI38" s="192" t="str">
        <f>COMPLEX(CJ36,CJ37)</f>
        <v>-4.84i</v>
      </c>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5"/>
      <c r="DM38" s="15" t="s">
        <v>56</v>
      </c>
      <c r="DN38" s="15"/>
      <c r="DX38" s="35"/>
      <c r="DY38" s="36"/>
      <c r="DZ38" s="36"/>
      <c r="EA38" s="37"/>
      <c r="HN38" s="39"/>
      <c r="HO38" s="93"/>
      <c r="HP38" s="93"/>
      <c r="HQ38" s="93"/>
      <c r="HR38" s="23"/>
      <c r="HS38" s="23"/>
      <c r="HT38" s="23"/>
      <c r="HU38" s="23"/>
      <c r="HV38" s="23"/>
      <c r="HW38" s="23"/>
      <c r="HX38" s="23"/>
      <c r="HY38" s="23"/>
      <c r="HZ38" s="23"/>
      <c r="IA38" s="23"/>
      <c r="IB38" s="23"/>
      <c r="IC38" s="23"/>
      <c r="ID38" s="23"/>
      <c r="IE38" s="23"/>
      <c r="IF38" s="23"/>
      <c r="IG38" s="23"/>
      <c r="IH38" s="23"/>
      <c r="II38" s="30"/>
      <c r="IJ38" s="93"/>
      <c r="IK38" s="93"/>
      <c r="IL38" s="93"/>
      <c r="IM38" s="23"/>
      <c r="IN38" s="23"/>
      <c r="IO38" s="23"/>
    </row>
    <row r="39" spans="2:249" ht="18" customHeight="1" x14ac:dyDescent="0.25">
      <c r="B39" s="7"/>
      <c r="C39" s="23"/>
      <c r="K39" s="23"/>
      <c r="L39" s="30"/>
      <c r="M39" s="23"/>
      <c r="N39" s="10"/>
      <c r="O39" s="10" t="s">
        <v>77</v>
      </c>
      <c r="P39" s="117">
        <v>13.2</v>
      </c>
      <c r="Q39" s="117"/>
      <c r="R39" s="117"/>
      <c r="S39" s="23" t="s">
        <v>48</v>
      </c>
      <c r="T39" s="23"/>
      <c r="AP39" s="9"/>
      <c r="AR39" s="7"/>
      <c r="AS39" s="194"/>
      <c r="AT39" s="194"/>
      <c r="AU39" s="194"/>
      <c r="AV39" s="194"/>
      <c r="AW39" s="194"/>
      <c r="AX39" s="194"/>
      <c r="AY39" s="194"/>
      <c r="AZ39" s="194"/>
      <c r="BA39" s="194"/>
      <c r="BB39" s="194"/>
      <c r="BC39" s="194"/>
      <c r="BD39" s="194"/>
      <c r="BE39" s="194"/>
      <c r="BF39" s="194"/>
      <c r="BG39" s="194"/>
      <c r="BH39" s="194"/>
      <c r="BI39" s="194"/>
      <c r="BJ39" s="194"/>
      <c r="BK39" s="194"/>
      <c r="BL39" s="194"/>
      <c r="BM39" s="194"/>
      <c r="BN39" s="194"/>
      <c r="BO39" s="194"/>
      <c r="BP39" s="194"/>
      <c r="BQ39" s="194"/>
      <c r="BR39" s="194"/>
      <c r="BS39" s="194"/>
      <c r="BT39" s="194"/>
      <c r="BU39" s="194"/>
      <c r="BV39" s="194"/>
      <c r="BW39" s="194"/>
      <c r="BX39" s="194"/>
      <c r="BY39" s="194"/>
      <c r="BZ39" s="194"/>
      <c r="CA39" s="194"/>
      <c r="CB39" s="194"/>
      <c r="CC39" s="194"/>
      <c r="CD39" s="194"/>
      <c r="CE39" s="194"/>
      <c r="CF39" s="9"/>
      <c r="CI39" s="31" t="s">
        <v>78</v>
      </c>
      <c r="DX39" s="35"/>
      <c r="DY39" s="36"/>
      <c r="DZ39" s="36"/>
      <c r="EA39" s="37"/>
    </row>
    <row r="40" spans="2:249" ht="18" customHeight="1" x14ac:dyDescent="0.25">
      <c r="B40" s="7"/>
      <c r="C40" s="23"/>
      <c r="D40" s="23"/>
      <c r="E40" s="23"/>
      <c r="F40" s="23"/>
      <c r="G40" s="23"/>
      <c r="H40" s="23"/>
      <c r="I40" s="23"/>
      <c r="J40" s="23"/>
      <c r="K40" s="23"/>
      <c r="L40" s="30"/>
      <c r="M40" s="23"/>
      <c r="N40" s="23"/>
      <c r="O40" s="10" t="s">
        <v>79</v>
      </c>
      <c r="P40" s="117">
        <v>36</v>
      </c>
      <c r="Q40" s="117"/>
      <c r="R40" s="117"/>
      <c r="S40" s="23" t="s">
        <v>80</v>
      </c>
      <c r="T40" s="23"/>
      <c r="AP40" s="9"/>
      <c r="AR40" s="7"/>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9"/>
      <c r="CI40" s="118" t="str">
        <f>IMSUM(CI34,CI30,CI26)</f>
        <v>1.18451357938969+6.6895760699522i</v>
      </c>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5"/>
      <c r="DM40" s="15" t="s">
        <v>56</v>
      </c>
      <c r="DN40" s="15"/>
      <c r="DO40" s="15"/>
      <c r="DX40" s="35"/>
      <c r="DY40" s="36"/>
      <c r="DZ40" s="36"/>
      <c r="EA40" s="37"/>
      <c r="II40" s="174"/>
      <c r="IJ40" s="174"/>
      <c r="IK40" s="174"/>
      <c r="IL40" s="174"/>
      <c r="IM40" s="174"/>
    </row>
    <row r="41" spans="2:249" ht="18" customHeight="1" x14ac:dyDescent="0.25">
      <c r="B41" s="7"/>
      <c r="F41" s="23"/>
      <c r="G41" s="23"/>
      <c r="H41" s="23"/>
      <c r="I41" s="23"/>
      <c r="J41" s="23"/>
      <c r="K41" s="23"/>
      <c r="L41" s="30"/>
      <c r="M41" s="23"/>
      <c r="N41" s="23"/>
      <c r="O41" s="10" t="s">
        <v>81</v>
      </c>
      <c r="P41" s="117">
        <v>4</v>
      </c>
      <c r="Q41" s="117"/>
      <c r="R41" s="117"/>
      <c r="S41" s="23"/>
      <c r="T41" s="23"/>
      <c r="AP41" s="9"/>
      <c r="AR41" s="7"/>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9"/>
      <c r="DI41" s="19" t="s">
        <v>82</v>
      </c>
      <c r="DJ41" s="110">
        <f>IMABS(CI40)</f>
        <v>6.7936367591618936</v>
      </c>
      <c r="DK41" s="110"/>
      <c r="DL41" s="110"/>
      <c r="DM41" s="110"/>
      <c r="DN41" s="3" t="s">
        <v>9</v>
      </c>
      <c r="DO41" s="93">
        <f>DEGREES(IMARGUMENT(CI40))</f>
        <v>79.95879726527528</v>
      </c>
      <c r="DP41" s="93"/>
      <c r="DQ41" s="93"/>
      <c r="DR41" s="1" t="s">
        <v>56</v>
      </c>
      <c r="DX41" s="35"/>
      <c r="DY41" s="36"/>
      <c r="DZ41" s="36"/>
      <c r="EA41" s="37"/>
      <c r="II41" s="175"/>
      <c r="IJ41" s="175"/>
      <c r="IK41" s="175"/>
      <c r="IL41" s="175"/>
      <c r="IM41" s="175"/>
    </row>
    <row r="42" spans="2:249" ht="18" customHeight="1" x14ac:dyDescent="0.25">
      <c r="B42" s="7"/>
      <c r="AP42" s="9"/>
      <c r="AR42" s="7"/>
      <c r="AS42" s="84" t="s">
        <v>84</v>
      </c>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9"/>
      <c r="CI42" s="31" t="s">
        <v>83</v>
      </c>
      <c r="DX42" s="35"/>
      <c r="DY42" s="36"/>
      <c r="DZ42" s="36"/>
      <c r="EA42" s="37"/>
      <c r="II42" s="173"/>
      <c r="IJ42" s="173"/>
      <c r="IK42" s="173"/>
      <c r="IL42" s="173"/>
      <c r="IM42" s="173"/>
    </row>
    <row r="43" spans="2:249" ht="18" customHeight="1" x14ac:dyDescent="0.25">
      <c r="B43" s="7"/>
      <c r="AP43" s="9"/>
      <c r="AR43" s="7"/>
      <c r="AS43" s="195" t="s">
        <v>242</v>
      </c>
      <c r="AT43" s="195"/>
      <c r="AU43" s="195"/>
      <c r="AV43" s="195"/>
      <c r="AW43" s="195"/>
      <c r="AX43" s="195"/>
      <c r="AY43" s="195"/>
      <c r="AZ43" s="195"/>
      <c r="BA43" s="195"/>
      <c r="BB43" s="195"/>
      <c r="BC43" s="195"/>
      <c r="BD43" s="195"/>
      <c r="BE43" s="195"/>
      <c r="BF43" s="195"/>
      <c r="BG43" s="195"/>
      <c r="BH43" s="195"/>
      <c r="BI43" s="195"/>
      <c r="BJ43" s="195"/>
      <c r="BK43" s="195"/>
      <c r="BL43" s="195"/>
      <c r="BM43" s="195"/>
      <c r="BN43" s="195"/>
      <c r="BO43" s="195"/>
      <c r="BP43" s="195"/>
      <c r="BQ43" s="195"/>
      <c r="BR43" s="195"/>
      <c r="BS43" s="195"/>
      <c r="BT43" s="195"/>
      <c r="BU43" s="195"/>
      <c r="BV43" s="195"/>
      <c r="BW43" s="195"/>
      <c r="BX43" s="195"/>
      <c r="BY43" s="195"/>
      <c r="BZ43" s="195"/>
      <c r="CA43" s="195"/>
      <c r="CB43" s="195"/>
      <c r="CC43" s="195"/>
      <c r="CD43" s="195"/>
      <c r="CE43" s="195"/>
      <c r="CF43" s="9"/>
      <c r="CI43" s="118" t="str">
        <f>IMDIV(IMPRODUCT(CI38,CI34),IMSUM(CI38,CI34))</f>
        <v>18.4426119342146+7.72989439697291i</v>
      </c>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31"/>
      <c r="DN43" s="100">
        <f>IMABS(CI43)</f>
        <v>19.997029838063153</v>
      </c>
      <c r="DO43" s="100"/>
      <c r="DP43" s="100"/>
      <c r="DQ43" s="100"/>
      <c r="DR43" s="1" t="s">
        <v>9</v>
      </c>
      <c r="DS43" s="100">
        <f>DEGREES(IMARGUMENT(CI43))</f>
        <v>22.740131993897055</v>
      </c>
      <c r="DT43" s="100"/>
      <c r="DU43" s="100"/>
      <c r="DV43" s="100"/>
      <c r="DW43" s="1" t="s">
        <v>56</v>
      </c>
      <c r="DX43" s="35"/>
      <c r="DY43" s="36"/>
      <c r="DZ43" s="36"/>
      <c r="EA43" s="37"/>
      <c r="II43" s="93"/>
      <c r="IJ43" s="93"/>
      <c r="IK43" s="93"/>
      <c r="IL43" s="93"/>
      <c r="IM43" s="93"/>
    </row>
    <row r="44" spans="2:249" ht="18" customHeight="1" x14ac:dyDescent="0.25">
      <c r="B44" s="7"/>
      <c r="V44" s="19" t="str">
        <f>P39&amp;"KV, "&amp;P40&amp;" MVAR"</f>
        <v>13.2KV, 36 MVAR</v>
      </c>
      <c r="AP44" s="9"/>
      <c r="AR44" s="7"/>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9"/>
      <c r="CI44" s="31" t="s">
        <v>85</v>
      </c>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X44" s="35"/>
      <c r="DY44" s="36"/>
      <c r="DZ44" s="36"/>
      <c r="EA44" s="37"/>
      <c r="II44" s="93"/>
      <c r="IJ44" s="93"/>
      <c r="IK44" s="93"/>
      <c r="IL44" s="93"/>
      <c r="IM44" s="93"/>
    </row>
    <row r="45" spans="2:249" ht="18" customHeight="1" x14ac:dyDescent="0.25">
      <c r="B45" s="7"/>
      <c r="V45" s="19" t="str">
        <f>P41&amp;" Stage MotorVAR"</f>
        <v>4 Stage MotorVAR</v>
      </c>
      <c r="AP45" s="9"/>
      <c r="AR45" s="7"/>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5"/>
      <c r="BO45" s="195"/>
      <c r="BP45" s="195"/>
      <c r="BQ45" s="195"/>
      <c r="BR45" s="195"/>
      <c r="BS45" s="195"/>
      <c r="BT45" s="195"/>
      <c r="BU45" s="195"/>
      <c r="BV45" s="195"/>
      <c r="BW45" s="195"/>
      <c r="BX45" s="195"/>
      <c r="BY45" s="195"/>
      <c r="BZ45" s="195"/>
      <c r="CA45" s="195"/>
      <c r="CB45" s="195"/>
      <c r="CC45" s="195"/>
      <c r="CD45" s="195"/>
      <c r="CE45" s="195"/>
      <c r="CF45" s="9"/>
      <c r="CI45" s="118" t="str">
        <f>IMSUM(CI43,CI30,CI26)</f>
        <v>18.7598270988878+10.1705933253649i</v>
      </c>
      <c r="CJ45" s="118"/>
      <c r="CK45" s="118"/>
      <c r="CL45" s="118"/>
      <c r="CM45" s="118"/>
      <c r="CN45" s="118"/>
      <c r="CO45" s="118"/>
      <c r="CP45" s="118"/>
      <c r="CQ45" s="118"/>
      <c r="CR45" s="118"/>
      <c r="CS45" s="118"/>
      <c r="CT45" s="118"/>
      <c r="CU45" s="118"/>
      <c r="CV45" s="118"/>
      <c r="CW45" s="118"/>
      <c r="CX45" s="118"/>
      <c r="CY45" s="118"/>
      <c r="CZ45" s="118"/>
      <c r="DA45" s="118"/>
      <c r="DB45" s="118"/>
      <c r="DC45" s="118"/>
      <c r="DD45" s="118"/>
      <c r="DE45" s="118"/>
      <c r="DF45" s="118"/>
      <c r="DG45" s="118"/>
      <c r="DH45" s="118"/>
      <c r="DI45" s="118"/>
      <c r="DJ45" s="118"/>
      <c r="DK45" s="118"/>
      <c r="DL45" s="118"/>
      <c r="DX45" s="35"/>
      <c r="DY45" s="36"/>
      <c r="DZ45" s="36"/>
      <c r="EA45" s="37"/>
      <c r="II45" s="93"/>
      <c r="IJ45" s="93"/>
      <c r="IK45" s="93"/>
      <c r="IL45" s="93"/>
      <c r="IM45" s="93"/>
    </row>
    <row r="46" spans="2:249" ht="18" customHeight="1" x14ac:dyDescent="0.25">
      <c r="B46" s="7"/>
      <c r="R46" s="1" t="s">
        <v>154</v>
      </c>
      <c r="AP46" s="42"/>
      <c r="AR46" s="7"/>
      <c r="AS46" s="195"/>
      <c r="AT46" s="195"/>
      <c r="AU46" s="195"/>
      <c r="AV46" s="195"/>
      <c r="AW46" s="195"/>
      <c r="AX46" s="195"/>
      <c r="AY46" s="195"/>
      <c r="AZ46" s="195"/>
      <c r="BA46" s="195"/>
      <c r="BB46" s="195"/>
      <c r="BC46" s="195"/>
      <c r="BD46" s="195"/>
      <c r="BE46" s="195"/>
      <c r="BF46" s="195"/>
      <c r="BG46" s="195"/>
      <c r="BH46" s="195"/>
      <c r="BI46" s="195"/>
      <c r="BJ46" s="195"/>
      <c r="BK46" s="195"/>
      <c r="BL46" s="195"/>
      <c r="BM46" s="195"/>
      <c r="BN46" s="195"/>
      <c r="BO46" s="195"/>
      <c r="BP46" s="195"/>
      <c r="BQ46" s="195"/>
      <c r="BR46" s="195"/>
      <c r="BS46" s="195"/>
      <c r="BT46" s="195"/>
      <c r="BU46" s="195"/>
      <c r="BV46" s="195"/>
      <c r="BW46" s="195"/>
      <c r="BX46" s="195"/>
      <c r="BY46" s="195"/>
      <c r="BZ46" s="195"/>
      <c r="CA46" s="195"/>
      <c r="CB46" s="195"/>
      <c r="CC46" s="195"/>
      <c r="CD46" s="195"/>
      <c r="CE46" s="195"/>
      <c r="CF46" s="9"/>
      <c r="CI46" s="1" t="s">
        <v>12</v>
      </c>
      <c r="DI46" s="19" t="s">
        <v>82</v>
      </c>
      <c r="DJ46" s="110">
        <f>IMABS(CI45)</f>
        <v>21.339448947199223</v>
      </c>
      <c r="DK46" s="110"/>
      <c r="DL46" s="110"/>
      <c r="DM46" s="110"/>
      <c r="DN46" s="3" t="s">
        <v>9</v>
      </c>
      <c r="DO46" s="93">
        <f>DEGREES(IMARGUMENT(CI45))</f>
        <v>28.46422443505358</v>
      </c>
      <c r="DP46" s="93"/>
      <c r="DQ46" s="93"/>
      <c r="DR46" s="1" t="s">
        <v>56</v>
      </c>
      <c r="DX46" s="35"/>
      <c r="DY46" s="36"/>
      <c r="DZ46" s="36"/>
      <c r="EA46" s="37"/>
      <c r="II46" s="93"/>
      <c r="IJ46" s="93"/>
      <c r="IK46" s="93"/>
      <c r="IL46" s="93"/>
      <c r="IM46" s="93"/>
    </row>
    <row r="47" spans="2:249"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X47" s="35"/>
      <c r="DY47" s="36"/>
      <c r="DZ47" s="36"/>
      <c r="EA47" s="37"/>
      <c r="II47" s="93"/>
      <c r="IJ47" s="93"/>
      <c r="IK47" s="93"/>
      <c r="IL47" s="93"/>
      <c r="IM47" s="93"/>
    </row>
    <row r="48" spans="2:249" ht="18" customHeight="1" x14ac:dyDescent="0.25">
      <c r="B48" s="7"/>
      <c r="D48" s="43" t="s">
        <v>86</v>
      </c>
      <c r="AP48" s="9"/>
      <c r="AR48" s="7"/>
      <c r="AT48" s="43" t="s">
        <v>86</v>
      </c>
      <c r="CE48" s="19" t="s">
        <v>87</v>
      </c>
      <c r="CF48" s="9"/>
      <c r="CJ48" s="1" t="s">
        <v>88</v>
      </c>
      <c r="DN48" s="100" t="str">
        <f>IMDIV(P27/1.73,IMSUM(CI26,CI30))</f>
        <v>0.377460113665694-2.90423219798979i</v>
      </c>
      <c r="DO48" s="100"/>
      <c r="DP48" s="100"/>
      <c r="DQ48" s="100"/>
      <c r="DR48" s="100"/>
      <c r="DS48" s="100"/>
      <c r="DT48" s="100"/>
      <c r="DU48" s="100"/>
      <c r="DV48" s="100"/>
      <c r="DW48" s="100"/>
      <c r="DX48" s="100"/>
      <c r="DY48" s="100"/>
      <c r="DZ48" s="100"/>
      <c r="EA48" s="37" t="s">
        <v>89</v>
      </c>
      <c r="II48" s="93"/>
      <c r="IJ48" s="93"/>
      <c r="IK48" s="93"/>
      <c r="IL48" s="93"/>
      <c r="IM48" s="93"/>
    </row>
    <row r="49" spans="2:247" ht="18" customHeight="1" x14ac:dyDescent="0.25">
      <c r="B49" s="44"/>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5" t="s">
        <v>240</v>
      </c>
      <c r="AF49" s="41"/>
      <c r="AG49" s="41"/>
      <c r="AH49" s="41"/>
      <c r="AI49" s="41"/>
      <c r="AJ49" s="41"/>
      <c r="AK49" s="41"/>
      <c r="AL49" s="41"/>
      <c r="AM49" s="41"/>
      <c r="AN49" s="41"/>
      <c r="AO49" s="41"/>
      <c r="AP49" s="46"/>
      <c r="AR49" s="44"/>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6"/>
      <c r="DN49" s="100">
        <f>IMABS(DN48)</f>
        <v>2.9286585320329039</v>
      </c>
      <c r="DO49" s="100"/>
      <c r="DP49" s="100"/>
      <c r="DQ49" s="100"/>
      <c r="DR49" s="1" t="s">
        <v>89</v>
      </c>
      <c r="DX49" s="35"/>
      <c r="DY49" s="36"/>
      <c r="DZ49" s="36"/>
      <c r="EA49" s="37"/>
      <c r="II49" s="93"/>
      <c r="IJ49" s="93"/>
      <c r="IK49" s="93"/>
      <c r="IL49" s="93"/>
      <c r="IM49" s="93"/>
    </row>
    <row r="50" spans="2:247" ht="18" customHeight="1" x14ac:dyDescent="0.25">
      <c r="DL50" s="19" t="s">
        <v>90</v>
      </c>
      <c r="DN50" s="100">
        <f>DN49*1.73*P27</f>
        <v>63.180243377399037</v>
      </c>
      <c r="DO50" s="100"/>
      <c r="DP50" s="100"/>
      <c r="DQ50" s="100"/>
      <c r="DR50" s="1" t="s">
        <v>91</v>
      </c>
      <c r="DX50" s="35"/>
      <c r="DY50" s="36"/>
      <c r="DZ50" s="36"/>
      <c r="EA50" s="37"/>
      <c r="II50" s="93"/>
      <c r="IJ50" s="93"/>
      <c r="IK50" s="93"/>
      <c r="IL50" s="93"/>
      <c r="IM50" s="93"/>
    </row>
    <row r="51" spans="2:24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DX51" s="35"/>
      <c r="DY51" s="36"/>
      <c r="DZ51" s="36"/>
      <c r="EA51" s="37"/>
      <c r="II51" s="93"/>
      <c r="IJ51" s="93"/>
      <c r="IK51" s="93"/>
      <c r="IL51" s="93"/>
      <c r="IM51" s="93"/>
    </row>
    <row r="52" spans="2:247" ht="18" customHeight="1" x14ac:dyDescent="0.25">
      <c r="B52" s="7"/>
      <c r="AN52" s="8"/>
      <c r="AP52" s="9"/>
      <c r="AR52" s="7"/>
      <c r="CD52" s="8"/>
      <c r="CF52" s="9"/>
      <c r="DX52" s="35"/>
      <c r="DY52" s="36"/>
      <c r="DZ52" s="36"/>
      <c r="EA52" s="37"/>
      <c r="II52" s="93"/>
      <c r="IJ52" s="93"/>
      <c r="IK52" s="93"/>
      <c r="IL52" s="93"/>
      <c r="IM52" s="93"/>
    </row>
    <row r="53" spans="2:247" ht="18" customHeight="1" x14ac:dyDescent="0.25">
      <c r="B53" s="7"/>
      <c r="AN53" s="10"/>
      <c r="AP53" s="9"/>
      <c r="AR53" s="7"/>
      <c r="CD53" s="10"/>
      <c r="CF53" s="9"/>
      <c r="DX53" s="35"/>
      <c r="DY53" s="36"/>
      <c r="DZ53" s="36"/>
      <c r="EA53" s="37"/>
      <c r="II53" s="93"/>
      <c r="IJ53" s="93"/>
      <c r="IK53" s="93"/>
      <c r="IL53" s="93"/>
      <c r="IM53" s="93"/>
    </row>
    <row r="54" spans="2:247" ht="18" customHeight="1" thickBot="1" x14ac:dyDescent="0.3">
      <c r="B54" s="7"/>
      <c r="C54" s="11" t="str">
        <f>C7</f>
        <v>MotorVAR™ - MOTOR START CAPACITOR BANK - SIZING TOOL 
SIMPLE SYSTEM CONFIGURATION</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tr">
        <f>C7</f>
        <v>MotorVAR™ - MOTOR START CAPACITOR BANK - SIZING TOOL 
SIMPLE SYSTEM CONFIGURATION</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DX54" s="35"/>
      <c r="DY54" s="36"/>
      <c r="DZ54" s="36"/>
      <c r="EA54" s="37"/>
      <c r="II54" s="93"/>
      <c r="IJ54" s="93"/>
      <c r="IK54" s="93"/>
      <c r="IL54" s="93"/>
      <c r="IM54" s="93"/>
    </row>
    <row r="55" spans="2:247" ht="18" customHeight="1" x14ac:dyDescent="0.25">
      <c r="B55" s="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9"/>
      <c r="AR55" s="7"/>
      <c r="CD55" s="10"/>
      <c r="CF55" s="9"/>
      <c r="DX55" s="35"/>
      <c r="DY55" s="36"/>
      <c r="DZ55" s="36"/>
      <c r="EA55" s="37"/>
      <c r="II55" s="93"/>
      <c r="IJ55" s="93"/>
      <c r="IK55" s="93"/>
      <c r="IL55" s="93"/>
      <c r="IM55" s="93"/>
    </row>
    <row r="56" spans="2:247" ht="18" customHeight="1" x14ac:dyDescent="0.3">
      <c r="B56" s="7"/>
      <c r="C56" s="28" t="s">
        <v>92</v>
      </c>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9"/>
      <c r="AR56" s="7"/>
      <c r="AS56" s="28" t="s">
        <v>187</v>
      </c>
      <c r="CF56" s="9"/>
      <c r="DE56" s="1" t="s">
        <v>93</v>
      </c>
      <c r="DX56" s="35"/>
      <c r="DY56" s="36"/>
      <c r="DZ56" s="36"/>
      <c r="EA56" s="37"/>
      <c r="II56" s="93"/>
      <c r="IJ56" s="93"/>
      <c r="IK56" s="93"/>
      <c r="IL56" s="93"/>
      <c r="IM56" s="93"/>
    </row>
    <row r="57" spans="2:247" ht="18" customHeight="1" x14ac:dyDescent="0.25">
      <c r="B57" s="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9"/>
      <c r="AR57" s="7"/>
      <c r="CF57" s="9"/>
      <c r="DE57" s="47" t="str">
        <f>"Based on the data provided, this analysis evaluates the starting performance of a "&amp;TEXT(P32,"#,##0")&amp;" HP, "&amp;P31&amp;" kV motor connected to a utility system with a "&amp;P22&amp;" kV point of common coupling (PCC). The utility short-circuit level at the PCC is "&amp;P23&amp;" kA (3-phase) with an X/R ratio of "&amp;P24&amp;", supplying the motor through a "&amp;P26&amp;" MVA, "&amp;P22&amp;" kV–"&amp;P27&amp;" kV step-down transformer with "&amp;P28&amp;"% leakage impedance.
The motor has a full-load current (FLA) of "&amp;P33&amp;" amps, a locked-rotor current (LRA) of "&amp;P36&amp;"% FLA, and a rated efficiency of "&amp;P35&amp;"% and power factor of "&amp;P34&amp;"%. To support motor starting, a MotorVAR system rated at "&amp;P40&amp;" MVAR at "&amp;P39&amp;"kV, configured in "&amp;P41&amp;" stages, is applied at the motor bus."</f>
        <v>Based on the data provided, this analysis evaluates the starting performance of a 9,923 HP, 13.2 kV motor connected to a utility system with a 34.5 kV point of common coupling (PCC). The utility short-circuit level at the PCC is 1.2 kA (3-phase) with an X/R ratio of 7, supplying the motor through a 40 MVA, 34.5 kV–12.47 kV step-down transformer with 7.5% leakage impedance.
The motor has a full-load current (FLA) of 351.9 amps, a locked-rotor current (LRA) of 500% FLA, and a rated efficiency of 97.4% and power factor of 90%. To support motor starting, a MotorVAR system rated at 36 MVAR at 13.2kV, configured in 4 stages, is applied at the motor bus.</v>
      </c>
      <c r="DX57" s="35"/>
      <c r="DY57" s="36"/>
      <c r="DZ57" s="36"/>
      <c r="EA57" s="37"/>
      <c r="II57" s="172"/>
      <c r="IJ57" s="172"/>
      <c r="IK57" s="172"/>
      <c r="IL57" s="172"/>
      <c r="IM57" s="172"/>
    </row>
    <row r="58" spans="2:247" ht="18" customHeight="1" x14ac:dyDescent="0.25">
      <c r="B58" s="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9"/>
      <c r="AR58" s="7"/>
      <c r="CF58" s="9"/>
      <c r="DX58" s="35"/>
      <c r="DY58" s="36"/>
      <c r="DZ58" s="36"/>
      <c r="EA58" s="37"/>
      <c r="II58" s="173"/>
      <c r="IJ58" s="173"/>
      <c r="IK58" s="173"/>
      <c r="IL58" s="173"/>
      <c r="IM58" s="173"/>
    </row>
    <row r="59" spans="2:247" ht="18" customHeight="1" x14ac:dyDescent="0.25">
      <c r="B59" s="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9"/>
      <c r="AR59" s="7"/>
      <c r="CF59" s="9"/>
      <c r="DE59" s="1" t="s">
        <v>94</v>
      </c>
      <c r="DX59" s="35"/>
      <c r="DY59" s="36"/>
      <c r="DZ59" s="36"/>
      <c r="EA59" s="37"/>
    </row>
    <row r="60" spans="2:247" ht="18" customHeight="1" x14ac:dyDescent="0.25">
      <c r="B60" s="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9"/>
      <c r="AR60" s="7"/>
      <c r="CF60" s="9"/>
      <c r="DE60" s="47" t="str">
        <f>"Without MotorVAR assistance, the motor draws "&amp;ROUND(DJ8,0)&amp;" amps ("&amp;ROUND(DJ9*100,1)&amp;"% of FLA) during starting. This results in a voltage drop, with the motor terminal voltage dropping to "&amp;BH13&amp;", or "&amp;ROUND(BH14*100,1)&amp;"% of rated voltage. Correspondingly, available starting torque drops to "&amp;ROUND(BH15*100,1)&amp;"% of rated torque, increasing the risk of stalled or prolonged motor acceleration.
From a system perspective, the voltage at the "&amp;P22&amp;" kV PCC drops to "&amp;BH21&amp;", or "&amp;ROUND(BH22*100,1)&amp;"% of rated voltage and the "&amp;P27&amp;" kV Secondary bus drops to "&amp;BH25&amp;" or "&amp;ROUND(BH26*100,1)&amp;"% of nominal voltage, or voltage drops of "&amp;ROUND(BH23*100,1)&amp;"% and "&amp;ROUND(BH27*100,1)&amp;"% respectively. Typical performance objectives call for a voltage of no lower than 90% of nominal at the secondary bus and 96% voltage at the primary. When these objectives are not met, alternative starting methods are typically evaluated."</f>
        <v>Without MotorVAR assistance, the motor draws 1061 amps (301.5% of FLA) during starting. This results in a voltage drop, with the motor terminal voltage dropping to 7.96 kV, or 60.3% of rated voltage. Correspondingly, available starting torque drops to 36.4% of rated torque, increasing the risk of stalled or prolonged motor acceleration.
From a system perspective, the voltage at the 34.5 kV PCC drops to 23.48 kV, or 68.1% of rated voltage and the 12.47 kV Secondary bus drops to 7.96 kV or 63.8% of nominal voltage, or voltage drops of 31.9% and 36.2% respectively. Typical performance objectives call for a voltage of no lower than 90% of nominal at the secondary bus and 96% voltage at the primary. When these objectives are not met, alternative starting methods are typically evaluated.</v>
      </c>
      <c r="DX60" s="35"/>
      <c r="DY60" s="36"/>
      <c r="DZ60" s="36"/>
      <c r="EA60" s="37"/>
      <c r="HL60" s="115"/>
      <c r="HM60" s="115"/>
      <c r="HN60" s="115"/>
      <c r="HO60" s="115"/>
      <c r="HP60" s="115"/>
      <c r="HQ60" s="115"/>
      <c r="HR60" s="115"/>
      <c r="HS60" s="115"/>
      <c r="HT60" s="115"/>
      <c r="HU60" s="115"/>
      <c r="HV60" s="115"/>
      <c r="HW60" s="115"/>
      <c r="HX60" s="115"/>
      <c r="HY60" s="115"/>
      <c r="HZ60" s="116"/>
      <c r="IA60" s="116"/>
      <c r="IB60" s="116"/>
      <c r="IC60" s="116"/>
    </row>
    <row r="61" spans="2:247" ht="18" customHeight="1" x14ac:dyDescent="0.25">
      <c r="B61" s="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9"/>
      <c r="AR61" s="7"/>
      <c r="CF61" s="9"/>
      <c r="DX61" s="35"/>
      <c r="DY61" s="36"/>
      <c r="DZ61" s="36"/>
      <c r="EA61" s="37"/>
    </row>
    <row r="62" spans="2:247" ht="18" customHeight="1" x14ac:dyDescent="0.25">
      <c r="B62" s="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9"/>
      <c r="AR62" s="7"/>
      <c r="CF62" s="9"/>
      <c r="DE62" s="1" t="s">
        <v>95</v>
      </c>
      <c r="DX62" s="35"/>
      <c r="DY62" s="36"/>
      <c r="DZ62" s="36"/>
      <c r="EA62" s="37"/>
    </row>
    <row r="63" spans="2:247" ht="18" customHeight="1" x14ac:dyDescent="0.25">
      <c r="B63" s="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9"/>
      <c r="AR63" s="7"/>
      <c r="CF63" s="9"/>
      <c r="DE63" s="48" t="str">
        <f>"With the MotorVAR system engaged, motor starting performance improves substantially. Starting current at the motor terminals is increased to "&amp;ROUND(ER11,0)&amp;" amps while the current drawn through the "&amp;P27&amp;"kV system is reduced to "&amp;ROUND(ER8,0)&amp;" amps ("&amp;ROUND(ER9*100,1)&amp;"% of FLA), while motor terminal voltage is maintained at near "&amp;ROUND(ER15/1000,1)&amp;" kV, or "&amp;ROUND(ER16*100,1)&amp;"% of rated voltage. This enables the motor to develop approximately "&amp;ROUND(ER13*100,1)&amp;"% of rated torque at starting, providing stronger acceleration and more stable operation. 
System voltage performance is also significantly improved. Voltage at the "&amp;ROUND(P22,1)&amp;"kV PCC and the "&amp;ROUND(P27,1)&amp;" kV bus remain at approximately "&amp;ROUND(BS22*100,1)&amp;"% and "&amp;ROUND(BS26*100,1)&amp;"% of nominal, respectively. The starting current seen by the "&amp;ROUND(P22,1)&amp;" kV and "&amp;ROUND(P27,1)&amp;" kV system are reduced to approximately "&amp;ROUND(BS30*100,1)&amp;" %FLA respective of the voltage levels, greatly mitigating upstream system disturbances. As the system pulls into synchronism, the "&amp;ROUND(P41,1)&amp;" stage MotorVAR system limits the voltage fluctuations to approximately "&amp;BS35&amp;"% of the nominal system voltage at the "&amp;ROUND(P27,1)&amp;"kV bus."</f>
        <v>With the MotorVAR system engaged, motor starting performance improves substantially. Starting current at the motor terminals is increased to 1558 amps while the current drawn through the 12.47kV system is reduced to 338 amps (96% of FLA), while motor terminal voltage is maintained at near 11.7 kV, or 88.5% of rated voltage. This enables the motor to develop approximately 78.4% of rated torque at starting, providing stronger acceleration and more stable operation. 
System voltage performance is also significantly improved. Voltage at the 34.5kV PCC and the 12.5 kV bus remain at approximately 94.3% and 93.7% of nominal, respectively. The starting current seen by the 34.5 kV and 12.5 kV system are reduced to approximately 96 %FLA respective of the voltage levels, greatly mitigating upstream system disturbances. As the system pulls into synchronism, the 4 stage MotorVAR system limits the voltage fluctuations to approximately ±7.12%% of the nominal system voltage at the 12.5kV bus.</v>
      </c>
      <c r="DX63" s="35"/>
      <c r="DY63" s="36"/>
      <c r="DZ63" s="36"/>
      <c r="EA63" s="37"/>
    </row>
    <row r="64" spans="2:247" ht="18" customHeight="1" x14ac:dyDescent="0.3">
      <c r="B64" s="7"/>
      <c r="C64" s="28" t="s">
        <v>96</v>
      </c>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9"/>
      <c r="AR64" s="7"/>
      <c r="CF64" s="9"/>
      <c r="DE64" s="48"/>
      <c r="DX64" s="35"/>
      <c r="DY64" s="36"/>
      <c r="DZ64" s="36"/>
      <c r="EA64" s="37"/>
    </row>
    <row r="65" spans="2:146" ht="18" customHeight="1" x14ac:dyDescent="0.25">
      <c r="B65" s="7"/>
      <c r="AP65" s="9"/>
      <c r="AR65" s="7"/>
      <c r="CF65" s="9"/>
    </row>
    <row r="66" spans="2:146" ht="18" customHeight="1" x14ac:dyDescent="0.25">
      <c r="B66" s="7"/>
      <c r="AP66" s="9"/>
      <c r="AR66" s="7"/>
      <c r="BL66" s="1" t="str">
        <f>"Isc: "&amp;P23&amp;"kA"</f>
        <v>Isc: 1.2kA</v>
      </c>
      <c r="CF66" s="9"/>
    </row>
    <row r="67" spans="2:146" ht="18" customHeight="1" x14ac:dyDescent="0.25">
      <c r="B67" s="7"/>
      <c r="AP67" s="9"/>
      <c r="AR67" s="7"/>
      <c r="BL67" s="1" t="str">
        <f>"X/R: "&amp;P24</f>
        <v>X/R: 7</v>
      </c>
      <c r="CF67" s="9"/>
      <c r="DD67" s="31" t="s">
        <v>17</v>
      </c>
      <c r="DE67" s="31"/>
      <c r="DF67" s="31"/>
      <c r="DG67" s="31"/>
      <c r="DH67" s="31"/>
      <c r="DI67" s="31"/>
      <c r="DJ67" s="31"/>
      <c r="DK67" s="31"/>
      <c r="DL67" s="31"/>
      <c r="DM67" s="31"/>
      <c r="DN67" s="31"/>
      <c r="DO67" s="31"/>
      <c r="DP67" s="31"/>
      <c r="DQ67" s="31"/>
      <c r="DR67" s="101" t="s">
        <v>97</v>
      </c>
      <c r="DS67" s="101"/>
      <c r="DT67" s="101"/>
      <c r="DU67" s="101"/>
      <c r="DV67" s="101"/>
      <c r="DW67" s="101"/>
      <c r="DX67" s="101"/>
      <c r="DY67" s="101"/>
      <c r="DZ67" s="101"/>
      <c r="EA67" s="13"/>
      <c r="EB67" s="31"/>
      <c r="EC67" s="31" t="s">
        <v>98</v>
      </c>
      <c r="ED67" s="49"/>
      <c r="EE67" s="49"/>
      <c r="EF67" s="49"/>
      <c r="EG67" s="49"/>
      <c r="EH67" s="49"/>
      <c r="EI67" s="49"/>
    </row>
    <row r="68" spans="2:146" ht="18" customHeight="1" x14ac:dyDescent="0.25">
      <c r="B68" s="7"/>
      <c r="AP68" s="9"/>
      <c r="AR68" s="7"/>
      <c r="BF68" s="19" t="str">
        <f>P22&amp;"kV Bus"</f>
        <v>34.5kV Bus</v>
      </c>
      <c r="CF68" s="9"/>
      <c r="DQ68" s="19" t="s">
        <v>99</v>
      </c>
      <c r="DR68" s="98">
        <f>BH12</f>
        <v>3.015079453212909</v>
      </c>
      <c r="DS68" s="98"/>
      <c r="DT68" s="98"/>
      <c r="DU68" s="98"/>
      <c r="DV68" s="98"/>
      <c r="DW68" s="98"/>
      <c r="DX68" s="98"/>
      <c r="DY68" s="98"/>
      <c r="EC68" s="98">
        <f>BS12</f>
        <v>4.4263405155636804</v>
      </c>
      <c r="ED68" s="98"/>
      <c r="EE68" s="98"/>
      <c r="EF68" s="98"/>
      <c r="EG68" s="98"/>
      <c r="EH68" s="98"/>
      <c r="EI68" s="98"/>
    </row>
    <row r="69" spans="2:146" ht="18" customHeight="1" x14ac:dyDescent="0.25">
      <c r="B69" s="7"/>
      <c r="AP69" s="9"/>
      <c r="AR69" s="7"/>
      <c r="CF69" s="9"/>
      <c r="DQ69" s="19" t="s">
        <v>100</v>
      </c>
      <c r="DR69" s="98">
        <f>BH14</f>
        <v>0.60301589064258154</v>
      </c>
      <c r="DS69" s="98"/>
      <c r="DT69" s="98"/>
      <c r="DU69" s="98"/>
      <c r="DV69" s="98"/>
      <c r="DW69" s="98"/>
      <c r="DX69" s="98"/>
      <c r="DY69" s="98"/>
      <c r="EC69" s="98">
        <f>BS14</f>
        <v>0.8852681031127364</v>
      </c>
      <c r="ED69" s="100"/>
      <c r="EE69" s="100"/>
      <c r="EF69" s="100"/>
      <c r="EG69" s="100"/>
      <c r="EH69" s="100"/>
      <c r="EI69" s="100"/>
      <c r="EK69" s="50" t="str">
        <f>"| ✓ "&amp;TEXT(-1*(DR70-EC70)/DR70,"0%")&amp;" Higher Starting Torque"
&amp;CHAR(10)&amp;"| ✓ "&amp;TEXT((DR73-EC73)/DR73,"0%")&amp;" Lower System Inrush Current Reduction"</f>
        <v>| ✓ 116% Higher Starting Torque
| ✓ 68% Lower System Inrush Current Reduction</v>
      </c>
    </row>
    <row r="70" spans="2:146" ht="18" customHeight="1" x14ac:dyDescent="0.25">
      <c r="B70" s="7"/>
      <c r="AP70" s="9"/>
      <c r="AR70" s="7"/>
      <c r="CF70" s="9"/>
      <c r="DQ70" s="19" t="s">
        <v>101</v>
      </c>
      <c r="DR70" s="98">
        <f>BH15</f>
        <v>0.36362816436746614</v>
      </c>
      <c r="DS70" s="98"/>
      <c r="DT70" s="98"/>
      <c r="DU70" s="98"/>
      <c r="DV70" s="98"/>
      <c r="DW70" s="98"/>
      <c r="DX70" s="98"/>
      <c r="DY70" s="98"/>
      <c r="EC70" s="98">
        <f>BS15</f>
        <v>0.78369961438882185</v>
      </c>
      <c r="ED70" s="98"/>
      <c r="EE70" s="98"/>
      <c r="EF70" s="98"/>
      <c r="EG70" s="98"/>
      <c r="EH70" s="98"/>
      <c r="EI70" s="98"/>
      <c r="EL70" s="51"/>
      <c r="EM70" s="51"/>
      <c r="EN70" s="51"/>
      <c r="EO70" s="51"/>
      <c r="EP70" s="51"/>
    </row>
    <row r="71" spans="2:146" ht="18" customHeight="1" x14ac:dyDescent="0.25">
      <c r="B71" s="7"/>
      <c r="AP71" s="9"/>
      <c r="AR71" s="7"/>
      <c r="CF71" s="9"/>
      <c r="DQ71" s="19" t="str">
        <f>BF21</f>
        <v>Voltage at Primary (PCC) 34.5 kV Bus:</v>
      </c>
      <c r="DR71" s="98">
        <f>BH22</f>
        <v>0.68067785585491769</v>
      </c>
      <c r="DS71" s="98"/>
      <c r="DT71" s="98"/>
      <c r="DU71" s="98"/>
      <c r="DV71" s="98"/>
      <c r="DW71" s="98"/>
      <c r="DX71" s="98"/>
      <c r="DY71" s="98"/>
      <c r="EC71" s="98">
        <f>BS22</f>
        <v>0.94289166662778845</v>
      </c>
      <c r="ED71" s="98"/>
      <c r="EE71" s="98"/>
      <c r="EF71" s="98"/>
      <c r="EG71" s="98"/>
      <c r="EH71" s="98"/>
      <c r="EI71" s="98"/>
      <c r="EK71" s="52"/>
      <c r="EL71" s="51"/>
      <c r="EM71" s="51"/>
      <c r="EN71" s="51"/>
      <c r="EO71" s="51"/>
      <c r="EP71" s="51"/>
    </row>
    <row r="72" spans="2:146" ht="18" customHeight="1" x14ac:dyDescent="0.3">
      <c r="B72" s="7"/>
      <c r="C72" s="28" t="s">
        <v>103</v>
      </c>
      <c r="AP72" s="9"/>
      <c r="AR72" s="7"/>
      <c r="CF72" s="9"/>
      <c r="DQ72" s="19" t="str">
        <f>BF25</f>
        <v>Voltage at Secondary 12.47 kV Bus:</v>
      </c>
      <c r="DR72" s="98">
        <f>BH26</f>
        <v>0.63831674069623712</v>
      </c>
      <c r="DS72" s="98"/>
      <c r="DT72" s="98"/>
      <c r="DU72" s="98"/>
      <c r="DV72" s="98"/>
      <c r="DW72" s="98"/>
      <c r="DX72" s="98"/>
      <c r="DY72" s="98"/>
      <c r="DZ72" s="53"/>
      <c r="EC72" s="98">
        <f>BS26</f>
        <v>0.93709213801829361</v>
      </c>
      <c r="ED72" s="98"/>
      <c r="EE72" s="98"/>
      <c r="EF72" s="98"/>
      <c r="EG72" s="98"/>
      <c r="EH72" s="98"/>
      <c r="EI72" s="98"/>
      <c r="EK72" s="51"/>
      <c r="EL72" s="52"/>
      <c r="EM72" s="52"/>
      <c r="EN72" s="52"/>
      <c r="EO72" s="52"/>
      <c r="EP72" s="52"/>
    </row>
    <row r="73" spans="2:146" ht="18" customHeight="1" x14ac:dyDescent="0.25">
      <c r="B73" s="7"/>
      <c r="AP73" s="9"/>
      <c r="AR73" s="7"/>
      <c r="BD73" s="19" t="str">
        <f>P27&amp;"kV Bus"</f>
        <v>12.47kV Bus</v>
      </c>
      <c r="CF73" s="9"/>
      <c r="DQ73" s="19" t="s">
        <v>102</v>
      </c>
      <c r="DR73" s="98">
        <f>BH33</f>
        <v>3.015079453212909</v>
      </c>
      <c r="DS73" s="98"/>
      <c r="DT73" s="98"/>
      <c r="DU73" s="98"/>
      <c r="DV73" s="98"/>
      <c r="DW73" s="98"/>
      <c r="DX73" s="98"/>
      <c r="DY73" s="98"/>
      <c r="EC73" s="98">
        <f>BS33</f>
        <v>0.95988207829656502</v>
      </c>
      <c r="ED73" s="98"/>
      <c r="EE73" s="98"/>
      <c r="EF73" s="98"/>
      <c r="EG73" s="98"/>
      <c r="EH73" s="98"/>
      <c r="EI73" s="98"/>
      <c r="EK73" s="52"/>
    </row>
    <row r="74" spans="2:146" ht="18" customHeight="1" x14ac:dyDescent="0.25">
      <c r="B74" s="7"/>
      <c r="AP74" s="9"/>
      <c r="AR74" s="7"/>
      <c r="CF74" s="9"/>
    </row>
    <row r="75" spans="2:146" ht="18" customHeight="1" x14ac:dyDescent="0.25">
      <c r="B75" s="7"/>
      <c r="AP75" s="9"/>
      <c r="AR75" s="7"/>
      <c r="CC75" s="54"/>
      <c r="CE75" s="54"/>
      <c r="CF75" s="9"/>
    </row>
    <row r="76" spans="2:146" ht="18" customHeight="1" x14ac:dyDescent="0.25">
      <c r="B76" s="7"/>
      <c r="AP76" s="9"/>
      <c r="AR76" s="7"/>
      <c r="CF76" s="9"/>
    </row>
    <row r="77" spans="2:146" ht="18" customHeight="1" x14ac:dyDescent="0.25">
      <c r="B77" s="7"/>
      <c r="AP77" s="9"/>
      <c r="AR77" s="7"/>
      <c r="CF77" s="9"/>
    </row>
    <row r="78" spans="2:146" ht="18" customHeight="1" x14ac:dyDescent="0.25">
      <c r="B78" s="7"/>
      <c r="AP78" s="9"/>
      <c r="AR78" s="7"/>
      <c r="CF78" s="9"/>
    </row>
    <row r="79" spans="2:146" ht="18" customHeight="1" x14ac:dyDescent="0.25">
      <c r="B79" s="7"/>
      <c r="AP79" s="9"/>
      <c r="AR79" s="7"/>
      <c r="CF79" s="9"/>
    </row>
    <row r="80" spans="2:146" ht="18" customHeight="1" x14ac:dyDescent="0.25">
      <c r="B80" s="7"/>
      <c r="AP80" s="9"/>
      <c r="AR80" s="7"/>
      <c r="CF80" s="9"/>
    </row>
    <row r="81" spans="2:84" ht="18" customHeight="1" x14ac:dyDescent="0.3">
      <c r="B81" s="7"/>
      <c r="C81" s="28" t="s">
        <v>104</v>
      </c>
      <c r="AP81" s="9"/>
      <c r="AR81" s="7"/>
      <c r="BQ81" s="100" t="str">
        <f>TEXT(P32,"#,##0") &amp;"HP, "&amp;P31&amp;"kV"</f>
        <v>9,923HP, 13.2kV</v>
      </c>
      <c r="BR81" s="100"/>
      <c r="BS81" s="100"/>
      <c r="BT81" s="100"/>
      <c r="BU81" s="100"/>
      <c r="BV81" s="100"/>
      <c r="BW81" s="100"/>
      <c r="BX81" s="100"/>
      <c r="CF81" s="9"/>
    </row>
    <row r="82" spans="2:84" ht="18" customHeight="1" x14ac:dyDescent="0.25">
      <c r="B82" s="7"/>
      <c r="AP82" s="9"/>
      <c r="AR82" s="7"/>
      <c r="BR82" s="1" t="str">
        <f>"FLA: "&amp;P33&amp;"A"</f>
        <v>FLA: 351.9A</v>
      </c>
      <c r="CF82" s="9"/>
    </row>
    <row r="83" spans="2:84" ht="18" customHeight="1" x14ac:dyDescent="0.25">
      <c r="B83" s="7"/>
      <c r="AP83" s="9"/>
      <c r="AR83" s="7"/>
      <c r="BR83" s="1" t="str">
        <f>"LRA: "&amp;P36&amp;"%"</f>
        <v>LRA: 500%</v>
      </c>
      <c r="CF83" s="9"/>
    </row>
    <row r="84" spans="2:84" ht="18" customHeight="1" x14ac:dyDescent="0.25">
      <c r="B84" s="7"/>
      <c r="AP84" s="9"/>
      <c r="AR84" s="7"/>
      <c r="CF84" s="9"/>
    </row>
    <row r="85" spans="2:84" ht="18" customHeight="1" x14ac:dyDescent="0.25">
      <c r="B85" s="7"/>
      <c r="AP85" s="9"/>
      <c r="AR85" s="7"/>
      <c r="CF85" s="9"/>
    </row>
    <row r="86" spans="2:84" ht="18" customHeight="1" x14ac:dyDescent="0.25">
      <c r="B86" s="7"/>
      <c r="AP86" s="9"/>
      <c r="AR86" s="7"/>
      <c r="CF86" s="9"/>
    </row>
    <row r="87" spans="2:84" ht="18" customHeight="1" thickBot="1" x14ac:dyDescent="0.3">
      <c r="B87" s="7"/>
      <c r="AP87" s="9"/>
      <c r="AR87" s="7"/>
      <c r="BQ87" s="178" t="s">
        <v>213</v>
      </c>
      <c r="BR87" s="178"/>
      <c r="BS87" s="178"/>
      <c r="BT87" s="178"/>
      <c r="BU87" s="178"/>
      <c r="BV87" s="178"/>
      <c r="BW87" s="178"/>
      <c r="BX87" s="178"/>
      <c r="BY87" s="178"/>
      <c r="BZ87" s="178"/>
      <c r="CA87" s="178"/>
      <c r="CB87" s="178"/>
      <c r="CC87" s="178"/>
      <c r="CD87" s="178"/>
      <c r="CE87" s="178"/>
      <c r="CF87" s="9"/>
    </row>
    <row r="88" spans="2:84" ht="18" customHeight="1" x14ac:dyDescent="0.25">
      <c r="B88" s="7"/>
      <c r="AP88" s="9"/>
      <c r="AR88" s="7"/>
      <c r="BQ88" s="76" t="s">
        <v>214</v>
      </c>
      <c r="BR88" s="76"/>
      <c r="BS88" s="76"/>
      <c r="BT88" s="76"/>
      <c r="BU88" s="76"/>
      <c r="BV88" s="76"/>
      <c r="BW88" s="76"/>
      <c r="BX88" s="76"/>
      <c r="BY88" s="76"/>
      <c r="BZ88" s="76"/>
      <c r="CA88" s="76"/>
      <c r="CB88" s="76"/>
      <c r="CC88" s="76"/>
      <c r="CD88" s="76"/>
      <c r="CF88" s="9"/>
    </row>
    <row r="89" spans="2:84" ht="18" customHeight="1" x14ac:dyDescent="0.25">
      <c r="B89" s="7"/>
      <c r="AP89" s="9"/>
      <c r="AR89" s="7"/>
      <c r="BQ89" s="86" t="s">
        <v>238</v>
      </c>
      <c r="BR89" s="86"/>
      <c r="BS89" s="86"/>
      <c r="BT89" s="86"/>
      <c r="BU89" s="86"/>
      <c r="BV89" s="86"/>
      <c r="BW89" s="86"/>
      <c r="BX89" s="86"/>
      <c r="BY89" s="86"/>
      <c r="BZ89" s="86"/>
      <c r="CA89" s="86"/>
      <c r="CB89" s="86"/>
      <c r="CC89" s="86"/>
      <c r="CD89" s="86"/>
      <c r="CE89" s="31"/>
      <c r="CF89" s="9"/>
    </row>
    <row r="90" spans="2:84" ht="18" customHeight="1" x14ac:dyDescent="0.25">
      <c r="B90" s="7"/>
      <c r="AP90" s="9"/>
      <c r="AR90" s="7"/>
      <c r="CF90" s="9"/>
    </row>
    <row r="91" spans="2:84" ht="18" customHeight="1" x14ac:dyDescent="0.25">
      <c r="B91" s="7"/>
      <c r="AP91" s="9"/>
      <c r="AR91" s="7"/>
      <c r="BL91" s="177" t="str">
        <f>"Voltage change per stage at the "&amp;P27&amp;" kV Bus:"</f>
        <v>Voltage change per stage at the 12.47 kV Bus:</v>
      </c>
      <c r="BM91" s="177"/>
      <c r="BN91" s="177"/>
      <c r="BO91" s="177"/>
      <c r="BP91" s="177"/>
      <c r="BQ91" s="177"/>
      <c r="BR91" s="177"/>
      <c r="BS91" s="177"/>
      <c r="BT91" s="177"/>
      <c r="BU91" s="177"/>
      <c r="BV91" s="177"/>
      <c r="BW91" s="177"/>
      <c r="BX91" s="177"/>
      <c r="BY91" s="177"/>
      <c r="BZ91" s="177"/>
      <c r="CA91" s="177"/>
      <c r="CB91" s="177" t="str">
        <f>"±"&amp;ROUND((100*P40/P41)/DN50/2,2)&amp;"%"</f>
        <v>±7.12%</v>
      </c>
      <c r="CC91" s="177"/>
      <c r="CD91" s="177"/>
      <c r="CF91" s="9"/>
    </row>
    <row r="92" spans="2:84" ht="18" customHeight="1" x14ac:dyDescent="0.25">
      <c r="B92" s="7"/>
      <c r="AP92" s="9"/>
      <c r="AR92" s="7"/>
      <c r="CF92" s="9"/>
    </row>
    <row r="93" spans="2:84" ht="18" customHeight="1" x14ac:dyDescent="0.25">
      <c r="B93" s="7"/>
      <c r="AP93" s="9"/>
      <c r="AR93" s="7"/>
      <c r="AZ93" s="100" t="str">
        <f>P39&amp;"KV, "&amp;P40&amp;" MVAR"</f>
        <v>13.2KV, 36 MVAR</v>
      </c>
      <c r="BA93" s="100"/>
      <c r="BB93" s="100"/>
      <c r="BC93" s="100"/>
      <c r="BD93" s="100"/>
      <c r="BE93" s="100"/>
      <c r="BF93" s="100"/>
      <c r="BG93" s="100"/>
      <c r="BH93" s="100"/>
      <c r="BI93" s="100"/>
      <c r="CF93" s="9"/>
    </row>
    <row r="94" spans="2:84" ht="18" customHeight="1" x14ac:dyDescent="0.25">
      <c r="B94" s="7"/>
      <c r="AP94" s="9"/>
      <c r="AR94" s="7"/>
      <c r="AZ94" s="100" t="str">
        <f>P41&amp;" Stage MotorVAR"</f>
        <v>4 Stage MotorVAR</v>
      </c>
      <c r="BA94" s="100"/>
      <c r="BB94" s="100"/>
      <c r="BC94" s="100"/>
      <c r="BD94" s="100"/>
      <c r="BE94" s="100"/>
      <c r="BF94" s="100"/>
      <c r="BG94" s="100"/>
      <c r="BH94" s="100"/>
      <c r="BI94" s="100"/>
      <c r="CF94" s="9"/>
    </row>
    <row r="95" spans="2:84" ht="18" customHeight="1" x14ac:dyDescent="0.25">
      <c r="B95" s="7"/>
      <c r="AP95" s="9"/>
      <c r="AR95" s="7"/>
      <c r="CF95" s="9"/>
    </row>
    <row r="96" spans="2:84"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row>
    <row r="97" spans="2:84" ht="18" customHeight="1" x14ac:dyDescent="0.25">
      <c r="B97" s="7"/>
      <c r="D97" s="43" t="s">
        <v>86</v>
      </c>
      <c r="AO97" s="19" t="s">
        <v>105</v>
      </c>
      <c r="AP97" s="9"/>
      <c r="AR97" s="7"/>
      <c r="AT97" s="43" t="s">
        <v>86</v>
      </c>
      <c r="CE97" s="19" t="s">
        <v>106</v>
      </c>
      <c r="CF97" s="9"/>
    </row>
    <row r="98" spans="2:84" ht="18" customHeight="1" x14ac:dyDescent="0.25">
      <c r="B98" s="44"/>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6"/>
      <c r="AR98" s="44"/>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6"/>
    </row>
    <row r="99" spans="2:84" ht="18" customHeight="1" x14ac:dyDescent="0.25"/>
    <row r="100" spans="2:84" ht="18" customHeight="1" x14ac:dyDescent="0.25">
      <c r="B100" s="4"/>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6"/>
      <c r="AR100" s="4"/>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6"/>
    </row>
    <row r="101" spans="2:84" ht="18" customHeight="1" x14ac:dyDescent="0.25">
      <c r="B101" s="7"/>
      <c r="AN101" s="8"/>
      <c r="AP101" s="9"/>
      <c r="AR101" s="7"/>
      <c r="CD101" s="8"/>
      <c r="CF101" s="9"/>
    </row>
    <row r="102" spans="2:84" ht="18" customHeight="1" x14ac:dyDescent="0.25">
      <c r="B102" s="7"/>
      <c r="AN102" s="10"/>
      <c r="AP102" s="9"/>
      <c r="AR102" s="7"/>
      <c r="CD102" s="10"/>
      <c r="CF102" s="9"/>
    </row>
    <row r="103" spans="2:84" ht="18" customHeight="1" thickBot="1" x14ac:dyDescent="0.3">
      <c r="B103" s="7"/>
      <c r="C103" s="11" t="str">
        <f>C7</f>
        <v>MotorVAR™ - MOTOR START CAPACITOR BANK - SIZING TOOL 
SIMPLE SYSTEM CONFIGURATION</v>
      </c>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2"/>
      <c r="AO103" s="11"/>
      <c r="AP103" s="9"/>
      <c r="AR103" s="7"/>
      <c r="AS103" s="11" t="str">
        <f>C7</f>
        <v>MotorVAR™ - MOTOR START CAPACITOR BANK - SIZING TOOL 
SIMPLE SYSTEM CONFIGURATION</v>
      </c>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2"/>
      <c r="CE103" s="11"/>
      <c r="CF103" s="9"/>
    </row>
    <row r="104" spans="2:84" ht="18" customHeight="1" x14ac:dyDescent="0.25">
      <c r="B104" s="7"/>
      <c r="AP104" s="9"/>
      <c r="AR104" s="7"/>
      <c r="CF104" s="9"/>
    </row>
    <row r="105" spans="2:84" ht="18" customHeight="1" x14ac:dyDescent="0.25">
      <c r="B105" s="7"/>
      <c r="AP105" s="9"/>
      <c r="AR105" s="7"/>
      <c r="CF105" s="9"/>
    </row>
    <row r="106" spans="2:84" ht="18" customHeight="1" x14ac:dyDescent="0.25">
      <c r="B106" s="7"/>
      <c r="AP106" s="9"/>
      <c r="AR106" s="7"/>
      <c r="CF106" s="9"/>
    </row>
    <row r="107" spans="2:84" ht="18" customHeight="1" x14ac:dyDescent="0.25">
      <c r="B107" s="7"/>
      <c r="AP107" s="9"/>
      <c r="AR107" s="7"/>
      <c r="CF107" s="9"/>
    </row>
    <row r="108" spans="2:84" ht="18" customHeight="1" x14ac:dyDescent="0.25">
      <c r="B108" s="7"/>
      <c r="AP108" s="9"/>
      <c r="AR108" s="7"/>
      <c r="CF108" s="9"/>
    </row>
    <row r="109" spans="2:84" ht="18" customHeight="1" x14ac:dyDescent="0.25">
      <c r="B109" s="7"/>
      <c r="AP109" s="9"/>
      <c r="AR109" s="7"/>
      <c r="CF109" s="9"/>
    </row>
    <row r="110" spans="2:84" ht="18" customHeight="1" x14ac:dyDescent="0.25">
      <c r="B110" s="7"/>
      <c r="AP110" s="9"/>
      <c r="AR110" s="7"/>
      <c r="CF110" s="9"/>
    </row>
    <row r="111" spans="2:84" ht="18" customHeight="1" x14ac:dyDescent="0.25">
      <c r="B111" s="7"/>
      <c r="AP111" s="9"/>
      <c r="AR111" s="7"/>
      <c r="CF111" s="9"/>
    </row>
    <row r="112" spans="2:84" ht="18" customHeight="1" x14ac:dyDescent="0.25">
      <c r="B112" s="7"/>
      <c r="AP112" s="9"/>
      <c r="AR112" s="7"/>
      <c r="AS112" s="95" t="s">
        <v>217</v>
      </c>
      <c r="AT112" s="96"/>
      <c r="AU112" s="96"/>
      <c r="AV112" s="96"/>
      <c r="AW112" s="96"/>
      <c r="AX112" s="96"/>
      <c r="AY112" s="96"/>
      <c r="AZ112" s="96"/>
      <c r="BA112" s="96"/>
      <c r="BB112" s="96"/>
      <c r="BC112" s="96"/>
      <c r="BD112" s="96"/>
      <c r="BE112" s="96"/>
      <c r="BF112" s="96"/>
      <c r="BG112" s="96"/>
      <c r="BH112" s="96"/>
      <c r="BI112" s="96"/>
      <c r="BJ112" s="96"/>
      <c r="BK112" s="96"/>
      <c r="BL112" s="96"/>
      <c r="BM112" s="96"/>
      <c r="BN112" s="96"/>
      <c r="BO112" s="96"/>
      <c r="BP112" s="96"/>
      <c r="BQ112" s="96"/>
      <c r="BR112" s="96"/>
      <c r="BS112" s="96"/>
      <c r="BT112" s="96"/>
      <c r="BU112" s="96"/>
      <c r="BV112" s="96"/>
      <c r="BW112" s="96"/>
      <c r="BX112" s="96"/>
      <c r="BY112" s="96"/>
      <c r="BZ112" s="96"/>
      <c r="CA112" s="96"/>
      <c r="CB112" s="96"/>
      <c r="CC112" s="96"/>
      <c r="CD112" s="96"/>
      <c r="CE112" s="96"/>
      <c r="CF112" s="9"/>
    </row>
    <row r="113" spans="2:84" ht="18" customHeight="1" x14ac:dyDescent="0.25">
      <c r="B113" s="7"/>
      <c r="AP113" s="9"/>
      <c r="AR113" s="7"/>
      <c r="AS113" s="97" t="s">
        <v>218</v>
      </c>
      <c r="AT113" s="97"/>
      <c r="AU113" s="97"/>
      <c r="AV113" s="97"/>
      <c r="AW113" s="97"/>
      <c r="AX113" s="97"/>
      <c r="AY113" s="97"/>
      <c r="AZ113" s="97"/>
      <c r="BA113" s="97"/>
      <c r="BB113" s="97"/>
      <c r="BC113" s="97"/>
      <c r="BD113" s="97"/>
      <c r="BE113" s="97"/>
      <c r="BF113" s="97"/>
      <c r="BG113" s="97"/>
      <c r="BH113" s="97"/>
      <c r="BI113" s="97"/>
      <c r="BJ113" s="97"/>
      <c r="BK113" s="97"/>
      <c r="BL113" s="97"/>
      <c r="BM113" s="97"/>
      <c r="BN113" s="97"/>
      <c r="BO113" s="97"/>
      <c r="BP113" s="97"/>
      <c r="BQ113" s="97"/>
      <c r="BR113" s="97"/>
      <c r="BS113" s="97"/>
      <c r="BT113" s="97"/>
      <c r="BU113" s="97"/>
      <c r="BV113" s="97"/>
      <c r="BW113" s="97"/>
      <c r="BX113" s="97"/>
      <c r="BY113" s="97"/>
      <c r="BZ113" s="97"/>
      <c r="CA113" s="97"/>
      <c r="CB113" s="97"/>
      <c r="CC113" s="97"/>
      <c r="CD113" s="97"/>
      <c r="CE113" s="97"/>
      <c r="CF113" s="9"/>
    </row>
    <row r="114" spans="2:84" ht="18" customHeight="1" x14ac:dyDescent="0.25">
      <c r="B114" s="7"/>
      <c r="AP114" s="9"/>
      <c r="AR114" s="7"/>
      <c r="AS114" s="97"/>
      <c r="AT114" s="97"/>
      <c r="AU114" s="97"/>
      <c r="AV114" s="97"/>
      <c r="AW114" s="97"/>
      <c r="AX114" s="9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97"/>
      <c r="CE114" s="97"/>
      <c r="CF114" s="9"/>
    </row>
    <row r="115" spans="2:84" ht="18" customHeight="1" x14ac:dyDescent="0.25">
      <c r="B115" s="7"/>
      <c r="AP115" s="9"/>
      <c r="AR115" s="7"/>
      <c r="AS115" s="97"/>
      <c r="AT115" s="97"/>
      <c r="AU115" s="97"/>
      <c r="AV115" s="97"/>
      <c r="AW115" s="97"/>
      <c r="AX115" s="97"/>
      <c r="AY115" s="97"/>
      <c r="AZ115" s="97"/>
      <c r="BA115" s="97"/>
      <c r="BB115" s="97"/>
      <c r="BC115" s="97"/>
      <c r="BD115" s="97"/>
      <c r="BE115" s="97"/>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c r="CB115" s="97"/>
      <c r="CC115" s="97"/>
      <c r="CD115" s="97"/>
      <c r="CE115" s="97"/>
      <c r="CF115" s="9"/>
    </row>
    <row r="116" spans="2:84" ht="18" customHeight="1" x14ac:dyDescent="0.25">
      <c r="B116" s="7"/>
      <c r="AP116" s="9"/>
      <c r="AR116" s="7"/>
      <c r="AS116" s="97"/>
      <c r="AT116" s="97"/>
      <c r="AU116" s="97"/>
      <c r="AV116" s="97"/>
      <c r="AW116" s="97"/>
      <c r="AX116" s="97"/>
      <c r="AY116" s="97"/>
      <c r="AZ116" s="97"/>
      <c r="BA116" s="97"/>
      <c r="BB116" s="97"/>
      <c r="BC116" s="97"/>
      <c r="BD116" s="97"/>
      <c r="BE116" s="97"/>
      <c r="BF116" s="97"/>
      <c r="BG116" s="97"/>
      <c r="BH116" s="97"/>
      <c r="BI116" s="97"/>
      <c r="BJ116" s="97"/>
      <c r="BK116" s="97"/>
      <c r="BL116" s="97"/>
      <c r="BM116" s="97"/>
      <c r="BN116" s="97"/>
      <c r="BO116" s="97"/>
      <c r="BP116" s="97"/>
      <c r="BQ116" s="97"/>
      <c r="BR116" s="97"/>
      <c r="BS116" s="97"/>
      <c r="BT116" s="97"/>
      <c r="BU116" s="97"/>
      <c r="BV116" s="97"/>
      <c r="BW116" s="97"/>
      <c r="BX116" s="97"/>
      <c r="BY116" s="97"/>
      <c r="BZ116" s="97"/>
      <c r="CA116" s="97"/>
      <c r="CB116" s="97"/>
      <c r="CC116" s="97"/>
      <c r="CD116" s="97"/>
      <c r="CE116" s="97"/>
      <c r="CF116" s="9"/>
    </row>
    <row r="117" spans="2:84" ht="18" customHeight="1" x14ac:dyDescent="0.25">
      <c r="B117" s="7"/>
      <c r="AP117" s="9"/>
      <c r="AR117" s="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
    </row>
    <row r="118" spans="2:84" ht="18" customHeight="1" x14ac:dyDescent="0.25">
      <c r="B118" s="7"/>
      <c r="AP118" s="9"/>
      <c r="AR118" s="7"/>
      <c r="CF118" s="9"/>
    </row>
    <row r="119" spans="2:84" ht="18" customHeight="1" x14ac:dyDescent="0.25">
      <c r="B119" s="7"/>
      <c r="AP119" s="9"/>
      <c r="AR119" s="7"/>
      <c r="CF119" s="9"/>
    </row>
    <row r="120" spans="2:84" ht="18" customHeight="1" x14ac:dyDescent="0.25">
      <c r="B120" s="7"/>
      <c r="AP120" s="9"/>
      <c r="AR120" s="7"/>
      <c r="CF120" s="9"/>
    </row>
    <row r="121" spans="2:84" ht="18" customHeight="1" x14ac:dyDescent="0.25">
      <c r="B121" s="7"/>
      <c r="AP121" s="9"/>
      <c r="AR121" s="7"/>
      <c r="CF121" s="9"/>
    </row>
    <row r="122" spans="2:84" ht="18" customHeight="1" x14ac:dyDescent="0.25">
      <c r="B122" s="7"/>
      <c r="AP122" s="9"/>
      <c r="AR122" s="7"/>
      <c r="CF122" s="9"/>
    </row>
    <row r="123" spans="2:84" ht="18" customHeight="1" x14ac:dyDescent="0.25">
      <c r="B123" s="7"/>
      <c r="C123" s="95" t="s">
        <v>190</v>
      </c>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
      <c r="AR123" s="7"/>
      <c r="CF123" s="9"/>
    </row>
    <row r="124" spans="2:84" ht="18" customHeight="1" x14ac:dyDescent="0.25">
      <c r="B124" s="7"/>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
      <c r="AR124" s="7"/>
      <c r="CF124" s="9"/>
    </row>
    <row r="125" spans="2:84" ht="18" customHeight="1" x14ac:dyDescent="0.3">
      <c r="B125" s="7"/>
      <c r="C125" s="28" t="s">
        <v>209</v>
      </c>
      <c r="AP125" s="9"/>
      <c r="AR125" s="7"/>
      <c r="CF125" s="9"/>
    </row>
    <row r="126" spans="2:84" ht="18" customHeight="1" x14ac:dyDescent="0.25">
      <c r="B126" s="7"/>
      <c r="AP126" s="9"/>
      <c r="AR126" s="7"/>
      <c r="CF126" s="9"/>
    </row>
    <row r="127" spans="2:84" ht="18" customHeight="1" x14ac:dyDescent="0.25">
      <c r="B127" s="7"/>
      <c r="AP127" s="9"/>
      <c r="AR127" s="7"/>
      <c r="CF127" s="9"/>
    </row>
    <row r="128" spans="2:84" ht="18" customHeight="1" x14ac:dyDescent="0.25">
      <c r="B128" s="7"/>
      <c r="AP128" s="9"/>
      <c r="AR128" s="7"/>
      <c r="CF128" s="9"/>
    </row>
    <row r="129" spans="2:84" ht="18" customHeight="1" x14ac:dyDescent="0.25">
      <c r="B129" s="7"/>
      <c r="AP129" s="9"/>
      <c r="AR129" s="7"/>
      <c r="CF129" s="9"/>
    </row>
    <row r="130" spans="2:84" ht="18" customHeight="1" x14ac:dyDescent="0.25">
      <c r="B130" s="7"/>
      <c r="AP130" s="9"/>
      <c r="AR130" s="7"/>
      <c r="CF130" s="9"/>
    </row>
    <row r="131" spans="2:84" ht="18" customHeight="1" x14ac:dyDescent="0.25">
      <c r="B131" s="7"/>
      <c r="AP131" s="9"/>
      <c r="AR131" s="7"/>
      <c r="CF131" s="9"/>
    </row>
    <row r="132" spans="2:84" ht="18" customHeight="1" x14ac:dyDescent="0.25">
      <c r="B132" s="7"/>
      <c r="AP132" s="9"/>
      <c r="AR132" s="7"/>
      <c r="CF132" s="9"/>
    </row>
    <row r="133" spans="2:84" ht="18" customHeight="1" x14ac:dyDescent="0.25">
      <c r="B133" s="7"/>
      <c r="AP133" s="9"/>
      <c r="AR133" s="7"/>
      <c r="CF133" s="9"/>
    </row>
    <row r="134" spans="2:84" ht="18" customHeight="1" x14ac:dyDescent="0.25">
      <c r="B134" s="7"/>
      <c r="AP134" s="9"/>
      <c r="AR134" s="7"/>
      <c r="CF134" s="9"/>
    </row>
    <row r="135" spans="2:84" ht="18" customHeight="1" x14ac:dyDescent="0.25">
      <c r="B135" s="7"/>
      <c r="AP135" s="9"/>
      <c r="AR135" s="7"/>
      <c r="CF135" s="9"/>
    </row>
    <row r="136" spans="2:84" ht="18" customHeight="1" x14ac:dyDescent="0.25">
      <c r="B136" s="7"/>
      <c r="AP136" s="9"/>
      <c r="AR136" s="7"/>
      <c r="CF136" s="9"/>
    </row>
    <row r="137" spans="2:84" ht="18" customHeight="1" x14ac:dyDescent="0.25">
      <c r="B137" s="7"/>
      <c r="AP137" s="9"/>
      <c r="AR137" s="7"/>
      <c r="CF137" s="9"/>
    </row>
    <row r="138" spans="2:84" ht="18" customHeight="1" x14ac:dyDescent="0.25">
      <c r="B138" s="7"/>
      <c r="AP138" s="9"/>
      <c r="AR138" s="7"/>
      <c r="CF138" s="9"/>
    </row>
    <row r="139" spans="2:84" ht="18" customHeight="1" x14ac:dyDescent="0.25">
      <c r="B139" s="7"/>
      <c r="AP139" s="9"/>
      <c r="AR139" s="7"/>
      <c r="CF139" s="9"/>
    </row>
    <row r="140" spans="2:84" ht="18" customHeight="1" x14ac:dyDescent="0.25">
      <c r="B140" s="7"/>
      <c r="AP140" s="9"/>
      <c r="AR140" s="7"/>
      <c r="CF140" s="9"/>
    </row>
    <row r="141" spans="2:84" ht="18" customHeight="1" x14ac:dyDescent="0.25">
      <c r="B141" s="7"/>
      <c r="AP141" s="9"/>
      <c r="AR141" s="7"/>
      <c r="CF141" s="9"/>
    </row>
    <row r="142" spans="2:84" ht="18" customHeight="1" x14ac:dyDescent="0.25">
      <c r="B142" s="7"/>
      <c r="AP142" s="9"/>
      <c r="AR142" s="7"/>
      <c r="CF142" s="9"/>
    </row>
    <row r="143" spans="2:84" ht="18" customHeight="1" x14ac:dyDescent="0.25">
      <c r="B143" s="7"/>
      <c r="AP143" s="9"/>
      <c r="AR143" s="7"/>
      <c r="CF143" s="9"/>
    </row>
    <row r="144" spans="2:84" ht="18" customHeight="1" x14ac:dyDescent="0.25">
      <c r="B144" s="7"/>
      <c r="AP144" s="9"/>
      <c r="AR144" s="7"/>
      <c r="CF144" s="9"/>
    </row>
    <row r="145" spans="2:84" ht="18" customHeight="1" thickBot="1" x14ac:dyDescent="0.3">
      <c r="B145" s="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2"/>
      <c r="AP145" s="9"/>
      <c r="AR145" s="7"/>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2"/>
      <c r="CF145" s="9"/>
    </row>
    <row r="146" spans="2:84" ht="18" customHeight="1" x14ac:dyDescent="0.25">
      <c r="B146" s="7"/>
      <c r="D146" s="43" t="s">
        <v>86</v>
      </c>
      <c r="AO146" s="19" t="s">
        <v>107</v>
      </c>
      <c r="AP146" s="9"/>
      <c r="AR146" s="7"/>
      <c r="AT146" s="43" t="s">
        <v>86</v>
      </c>
      <c r="CE146" s="19" t="s">
        <v>108</v>
      </c>
      <c r="CF146" s="9"/>
    </row>
    <row r="147" spans="2:84" ht="18" customHeight="1" x14ac:dyDescent="0.25">
      <c r="B147" s="44"/>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6"/>
      <c r="AR147" s="44"/>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6"/>
    </row>
    <row r="148" spans="2:84" ht="18" customHeight="1" x14ac:dyDescent="0.25"/>
    <row r="149" spans="2:84" ht="18" customHeight="1" x14ac:dyDescent="0.25">
      <c r="B149" s="4"/>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6"/>
      <c r="AR149" s="4"/>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6"/>
    </row>
    <row r="150" spans="2:84" ht="18" customHeight="1" x14ac:dyDescent="0.25">
      <c r="B150" s="7"/>
      <c r="AN150" s="8"/>
      <c r="AP150" s="9"/>
      <c r="AR150" s="7"/>
      <c r="CD150" s="8"/>
      <c r="CF150" s="9"/>
    </row>
    <row r="151" spans="2:84" ht="18" customHeight="1" x14ac:dyDescent="0.25">
      <c r="B151" s="7"/>
      <c r="AN151" s="10"/>
      <c r="AP151" s="9"/>
      <c r="AR151" s="7"/>
      <c r="CD151" s="10"/>
      <c r="CF151" s="9"/>
    </row>
    <row r="152" spans="2:84" ht="18" customHeight="1" thickBot="1" x14ac:dyDescent="0.3">
      <c r="B152" s="7"/>
      <c r="C152" s="11" t="str">
        <f>C7</f>
        <v>MotorVAR™ - MOTOR START CAPACITOR BANK - SIZING TOOL 
SIMPLE SYSTEM CONFIGURATION</v>
      </c>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2"/>
      <c r="AO152" s="11"/>
      <c r="AP152" s="9"/>
      <c r="AR152" s="7"/>
      <c r="AS152" s="11" t="str">
        <f>C7</f>
        <v>MotorVAR™ - MOTOR START CAPACITOR BANK - SIZING TOOL 
SIMPLE SYSTEM CONFIGURATION</v>
      </c>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2"/>
      <c r="CE152" s="11"/>
      <c r="CF152" s="9"/>
    </row>
    <row r="153" spans="2:84" ht="18" customHeight="1" x14ac:dyDescent="0.25">
      <c r="B153" s="7"/>
      <c r="AP153" s="9"/>
      <c r="AR153" s="7"/>
      <c r="CF153" s="9"/>
    </row>
    <row r="154" spans="2:84" ht="18" customHeight="1" x14ac:dyDescent="0.25">
      <c r="B154" s="7"/>
      <c r="AP154" s="9"/>
      <c r="AR154" s="7"/>
      <c r="CF154" s="9"/>
    </row>
    <row r="155" spans="2:84" ht="18" customHeight="1" x14ac:dyDescent="0.25">
      <c r="B155" s="7"/>
      <c r="AP155" s="9"/>
      <c r="AR155" s="7"/>
      <c r="CF155" s="9"/>
    </row>
    <row r="156" spans="2:84" ht="18" customHeight="1" x14ac:dyDescent="0.25">
      <c r="B156" s="7"/>
      <c r="AP156" s="9"/>
      <c r="AR156" s="7"/>
      <c r="CF156" s="9"/>
    </row>
    <row r="157" spans="2:84" ht="18" customHeight="1" x14ac:dyDescent="0.25">
      <c r="B157" s="7"/>
      <c r="AP157" s="9"/>
      <c r="AR157" s="7"/>
      <c r="CF157" s="9"/>
    </row>
    <row r="158" spans="2:84" ht="18" customHeight="1" x14ac:dyDescent="0.25">
      <c r="B158" s="7"/>
      <c r="AP158" s="9"/>
      <c r="AR158" s="7"/>
      <c r="CF158" s="9"/>
    </row>
    <row r="159" spans="2:84" ht="18" customHeight="1" x14ac:dyDescent="0.25">
      <c r="B159" s="7"/>
      <c r="AP159" s="9"/>
      <c r="AR159" s="7"/>
      <c r="CF159" s="9"/>
    </row>
    <row r="160" spans="2:84" ht="18" customHeight="1" x14ac:dyDescent="0.25">
      <c r="B160" s="7"/>
      <c r="AP160" s="9"/>
      <c r="AR160" s="7"/>
      <c r="CF160" s="9"/>
    </row>
    <row r="161" spans="2:84" ht="18" customHeight="1" x14ac:dyDescent="0.25">
      <c r="B161" s="7"/>
      <c r="AP161" s="9"/>
      <c r="AR161" s="7"/>
      <c r="CF161" s="9"/>
    </row>
    <row r="162" spans="2:84" ht="18" customHeight="1" x14ac:dyDescent="0.25">
      <c r="B162" s="7"/>
      <c r="AP162" s="9"/>
      <c r="AR162" s="7"/>
      <c r="CF162" s="9"/>
    </row>
    <row r="163" spans="2:84" ht="18" customHeight="1" x14ac:dyDescent="0.25">
      <c r="B163" s="7"/>
      <c r="AP163" s="9"/>
      <c r="AR163" s="7"/>
      <c r="CF163" s="9"/>
    </row>
    <row r="164" spans="2:84" ht="18" customHeight="1" x14ac:dyDescent="0.25">
      <c r="B164" s="7"/>
      <c r="AP164" s="9"/>
      <c r="AR164" s="7"/>
      <c r="CF164" s="9"/>
    </row>
    <row r="165" spans="2:84" ht="18" customHeight="1" x14ac:dyDescent="0.25">
      <c r="B165" s="7"/>
      <c r="AP165" s="9"/>
      <c r="AR165" s="7"/>
      <c r="CF165" s="9"/>
    </row>
    <row r="166" spans="2:84" ht="18" customHeight="1" x14ac:dyDescent="0.25">
      <c r="B166" s="7"/>
      <c r="AP166" s="9"/>
      <c r="AR166" s="7"/>
      <c r="CF166" s="9"/>
    </row>
    <row r="167" spans="2:84" ht="18" customHeight="1" x14ac:dyDescent="0.25">
      <c r="B167" s="7"/>
      <c r="AP167" s="9"/>
      <c r="AR167" s="7"/>
      <c r="CF167" s="9"/>
    </row>
    <row r="168" spans="2:84" ht="18" customHeight="1" x14ac:dyDescent="0.25">
      <c r="B168" s="7"/>
      <c r="AP168" s="9"/>
      <c r="AR168" s="7"/>
      <c r="CF168" s="9"/>
    </row>
    <row r="169" spans="2:84" ht="18" customHeight="1" x14ac:dyDescent="0.25">
      <c r="B169" s="7"/>
      <c r="AP169" s="9"/>
      <c r="AR169" s="7"/>
      <c r="CF169" s="9"/>
    </row>
    <row r="170" spans="2:84" ht="18" customHeight="1" x14ac:dyDescent="0.25">
      <c r="B170" s="7"/>
      <c r="AP170" s="9"/>
      <c r="AR170" s="7"/>
      <c r="CF170" s="9"/>
    </row>
    <row r="171" spans="2:84" ht="18" customHeight="1" x14ac:dyDescent="0.25">
      <c r="B171" s="7"/>
      <c r="AP171" s="9"/>
      <c r="AR171" s="7"/>
      <c r="CF171" s="9"/>
    </row>
    <row r="172" spans="2:84" ht="18" customHeight="1" x14ac:dyDescent="0.25">
      <c r="B172" s="7"/>
      <c r="AP172" s="9"/>
      <c r="AR172" s="7"/>
      <c r="CF172" s="9"/>
    </row>
    <row r="173" spans="2:84" ht="18" customHeight="1" x14ac:dyDescent="0.25">
      <c r="B173" s="7"/>
      <c r="AP173" s="9"/>
      <c r="AR173" s="7"/>
      <c r="CF173" s="9"/>
    </row>
    <row r="174" spans="2:84" ht="18" customHeight="1" x14ac:dyDescent="0.25">
      <c r="B174" s="7"/>
      <c r="AP174" s="9"/>
      <c r="AR174" s="7"/>
      <c r="CF174" s="9"/>
    </row>
    <row r="175" spans="2:84" ht="18" customHeight="1" x14ac:dyDescent="0.25">
      <c r="B175" s="7"/>
      <c r="AP175" s="9"/>
      <c r="AR175" s="7"/>
      <c r="CF175" s="9"/>
    </row>
    <row r="176" spans="2:84" ht="18" customHeight="1" x14ac:dyDescent="0.25">
      <c r="B176" s="7"/>
      <c r="AP176" s="9"/>
      <c r="AR176" s="7"/>
      <c r="CF176" s="9"/>
    </row>
    <row r="177" spans="2:84" ht="18" customHeight="1" x14ac:dyDescent="0.25">
      <c r="B177" s="7"/>
      <c r="AP177" s="9"/>
      <c r="AR177" s="7"/>
      <c r="CF177" s="9"/>
    </row>
    <row r="178" spans="2:84" ht="18" customHeight="1" x14ac:dyDescent="0.25">
      <c r="B178" s="7"/>
      <c r="AP178" s="9"/>
      <c r="AR178" s="7"/>
      <c r="CF178" s="9"/>
    </row>
    <row r="179" spans="2:84" ht="18" customHeight="1" x14ac:dyDescent="0.25">
      <c r="B179" s="7"/>
      <c r="AP179" s="9"/>
      <c r="AR179" s="7"/>
      <c r="CF179" s="9"/>
    </row>
    <row r="180" spans="2:84" ht="18" customHeight="1" x14ac:dyDescent="0.25">
      <c r="B180" s="7"/>
      <c r="AP180" s="9"/>
      <c r="AR180" s="7"/>
      <c r="CF180" s="9"/>
    </row>
    <row r="181" spans="2:84" ht="18" customHeight="1" x14ac:dyDescent="0.25">
      <c r="B181" s="7"/>
      <c r="AP181" s="9"/>
      <c r="AR181" s="7"/>
      <c r="CF181" s="9"/>
    </row>
    <row r="182" spans="2:84" ht="18" customHeight="1" x14ac:dyDescent="0.25">
      <c r="B182" s="7"/>
      <c r="AP182" s="9"/>
      <c r="AR182" s="7"/>
      <c r="CF182" s="9"/>
    </row>
    <row r="183" spans="2:84" ht="18" customHeight="1" x14ac:dyDescent="0.25">
      <c r="B183" s="7"/>
      <c r="AP183" s="9"/>
      <c r="AR183" s="7"/>
      <c r="CF183" s="9"/>
    </row>
    <row r="184" spans="2:84" ht="18" customHeight="1" x14ac:dyDescent="0.25">
      <c r="B184" s="7"/>
      <c r="AP184" s="9"/>
      <c r="AR184" s="7"/>
      <c r="CF184" s="9"/>
    </row>
    <row r="185" spans="2:84" ht="18" customHeight="1" x14ac:dyDescent="0.25">
      <c r="B185" s="7"/>
      <c r="AP185" s="9"/>
      <c r="AR185" s="7"/>
      <c r="CF185" s="9"/>
    </row>
    <row r="186" spans="2:84" ht="18" customHeight="1" x14ac:dyDescent="0.25">
      <c r="B186" s="7"/>
      <c r="AP186" s="9"/>
      <c r="AR186" s="7"/>
      <c r="CF186" s="9"/>
    </row>
    <row r="187" spans="2:84" ht="18" customHeight="1" x14ac:dyDescent="0.25">
      <c r="B187" s="7"/>
      <c r="AP187" s="9"/>
      <c r="AR187" s="7"/>
      <c r="CF187" s="9"/>
    </row>
    <row r="188" spans="2:84" ht="18" customHeight="1" x14ac:dyDescent="0.25">
      <c r="B188" s="7"/>
      <c r="AP188" s="9"/>
      <c r="AR188" s="7"/>
      <c r="CF188" s="9"/>
    </row>
    <row r="189" spans="2:84" ht="18" customHeight="1" x14ac:dyDescent="0.25">
      <c r="B189" s="7"/>
      <c r="AP189" s="9"/>
      <c r="AR189" s="7"/>
      <c r="CF189" s="9"/>
    </row>
    <row r="190" spans="2:84" ht="18" customHeight="1" x14ac:dyDescent="0.25">
      <c r="B190" s="7"/>
      <c r="AP190" s="9"/>
      <c r="AR190" s="7"/>
      <c r="CF190" s="9"/>
    </row>
    <row r="191" spans="2:84" ht="18" customHeight="1" x14ac:dyDescent="0.25">
      <c r="B191" s="7"/>
      <c r="AP191" s="9"/>
      <c r="AR191" s="7"/>
      <c r="CF191" s="9"/>
    </row>
    <row r="192" spans="2:84" ht="18" customHeight="1" x14ac:dyDescent="0.25">
      <c r="B192" s="7"/>
      <c r="AP192" s="9"/>
      <c r="AR192" s="7"/>
      <c r="CF192" s="9"/>
    </row>
    <row r="193" spans="2:131" ht="18" customHeight="1" x14ac:dyDescent="0.25">
      <c r="B193" s="7"/>
      <c r="AP193" s="9"/>
      <c r="AR193" s="7"/>
      <c r="CF193" s="9"/>
    </row>
    <row r="194" spans="2:131" ht="18" customHeight="1" thickBot="1" x14ac:dyDescent="0.3">
      <c r="B194" s="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2"/>
      <c r="AO194" s="11"/>
      <c r="AP194" s="9"/>
      <c r="AR194" s="7"/>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2"/>
      <c r="CE194" s="11"/>
      <c r="CF194" s="9"/>
    </row>
    <row r="195" spans="2:131" ht="18" customHeight="1" x14ac:dyDescent="0.25">
      <c r="B195" s="7"/>
      <c r="D195" s="43" t="s">
        <v>86</v>
      </c>
      <c r="AO195" s="19" t="s">
        <v>109</v>
      </c>
      <c r="AP195" s="9"/>
      <c r="AR195" s="7"/>
      <c r="AT195" s="43" t="s">
        <v>86</v>
      </c>
      <c r="CE195" s="19" t="s">
        <v>110</v>
      </c>
      <c r="CF195" s="9"/>
    </row>
    <row r="196" spans="2:131" ht="18" customHeight="1" x14ac:dyDescent="0.25">
      <c r="B196" s="44"/>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6"/>
      <c r="AR196" s="44"/>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6"/>
      <c r="DX196" s="35"/>
      <c r="DY196" s="36"/>
      <c r="DZ196" s="36"/>
      <c r="EA196" s="37"/>
    </row>
    <row r="197" spans="2:131" ht="18" customHeight="1" x14ac:dyDescent="0.25">
      <c r="DX197" s="35"/>
      <c r="DY197" s="36"/>
      <c r="DZ197" s="36"/>
      <c r="EA197" s="37"/>
    </row>
    <row r="198" spans="2:131" ht="18" customHeight="1" x14ac:dyDescent="0.25"/>
    <row r="305" ht="18.75" customHeight="1" x14ac:dyDescent="0.25"/>
  </sheetData>
  <sheetProtection algorithmName="SHA-512" hashValue="Xqw4tueLFHC6cQ/Qtcr/0QYfNBHWkWmCXd6xAcviHJA4VSHb8QxehcOEp3esOFlRzXFweFsY7IIF8qw707Ra4g==" saltValue="IsKLDHF3Uno+O+/Sv4C84w==" spinCount="100000" sheet="1" objects="1" scenarios="1"/>
  <mergeCells count="186">
    <mergeCell ref="II55:IM55"/>
    <mergeCell ref="II56:IM56"/>
    <mergeCell ref="II57:IM57"/>
    <mergeCell ref="II58:IM58"/>
    <mergeCell ref="HL60:HY60"/>
    <mergeCell ref="HZ60:IC60"/>
    <mergeCell ref="DN50:DQ50"/>
    <mergeCell ref="II50:IM50"/>
    <mergeCell ref="II51:IM51"/>
    <mergeCell ref="II52:IM52"/>
    <mergeCell ref="II53:IM53"/>
    <mergeCell ref="II54:IM54"/>
    <mergeCell ref="II46:IM46"/>
    <mergeCell ref="AS43:CE46"/>
    <mergeCell ref="II47:IM47"/>
    <mergeCell ref="DN48:DZ48"/>
    <mergeCell ref="II48:IM48"/>
    <mergeCell ref="DN49:DQ49"/>
    <mergeCell ref="II49:IM49"/>
    <mergeCell ref="II42:IM42"/>
    <mergeCell ref="CI43:DK43"/>
    <mergeCell ref="DN43:DQ43"/>
    <mergeCell ref="DS43:DV43"/>
    <mergeCell ref="II43:IM43"/>
    <mergeCell ref="II44:IM44"/>
    <mergeCell ref="CI45:DL45"/>
    <mergeCell ref="II45:IM45"/>
    <mergeCell ref="DJ46:DM46"/>
    <mergeCell ref="P37:R37"/>
    <mergeCell ref="CJ37:DD37"/>
    <mergeCell ref="HO37:HQ37"/>
    <mergeCell ref="IJ37:IL37"/>
    <mergeCell ref="C38:T38"/>
    <mergeCell ref="CI38:DK38"/>
    <mergeCell ref="HO38:HQ38"/>
    <mergeCell ref="IJ38:IL38"/>
    <mergeCell ref="P39:R39"/>
    <mergeCell ref="AS38:CE41"/>
    <mergeCell ref="P40:R40"/>
    <mergeCell ref="CI40:DK40"/>
    <mergeCell ref="II40:IM41"/>
    <mergeCell ref="P41:R41"/>
    <mergeCell ref="DJ41:DM41"/>
    <mergeCell ref="DO41:DQ41"/>
    <mergeCell ref="P35:R35"/>
    <mergeCell ref="AS35:BR35"/>
    <mergeCell ref="BS35:CA35"/>
    <mergeCell ref="HC35:IO35"/>
    <mergeCell ref="P36:R36"/>
    <mergeCell ref="CJ36:DD36"/>
    <mergeCell ref="HS36:HU36"/>
    <mergeCell ref="DO32:DQ32"/>
    <mergeCell ref="P33:R33"/>
    <mergeCell ref="BH33:BQ33"/>
    <mergeCell ref="BS33:CA33"/>
    <mergeCell ref="CJ33:DC33"/>
    <mergeCell ref="P34:R34"/>
    <mergeCell ref="CI34:DK34"/>
    <mergeCell ref="C30:T30"/>
    <mergeCell ref="BH30:BQ30"/>
    <mergeCell ref="BS30:CA30"/>
    <mergeCell ref="CI30:DK30"/>
    <mergeCell ref="P31:R31"/>
    <mergeCell ref="P32:R32"/>
    <mergeCell ref="BH32:BQ32"/>
    <mergeCell ref="BS32:CA32"/>
    <mergeCell ref="CJ32:DC32"/>
    <mergeCell ref="DJ32:DM32"/>
    <mergeCell ref="P28:R28"/>
    <mergeCell ref="CJ28:DC28"/>
    <mergeCell ref="DJ28:DM28"/>
    <mergeCell ref="DO28:DQ28"/>
    <mergeCell ref="P29:R29"/>
    <mergeCell ref="BH29:BQ29"/>
    <mergeCell ref="BS29:CA29"/>
    <mergeCell ref="CJ29:DC29"/>
    <mergeCell ref="P26:R26"/>
    <mergeCell ref="BH26:BQ26"/>
    <mergeCell ref="BS26:CA26"/>
    <mergeCell ref="CI26:DK26"/>
    <mergeCell ref="P27:R27"/>
    <mergeCell ref="BH27:BQ27"/>
    <mergeCell ref="BS27:CA27"/>
    <mergeCell ref="P24:R24"/>
    <mergeCell ref="CJ24:DC24"/>
    <mergeCell ref="DJ24:DM24"/>
    <mergeCell ref="DO24:DQ24"/>
    <mergeCell ref="C25:T25"/>
    <mergeCell ref="BH25:BQ25"/>
    <mergeCell ref="BS25:CA25"/>
    <mergeCell ref="CJ25:DC25"/>
    <mergeCell ref="P22:R22"/>
    <mergeCell ref="BH22:BQ22"/>
    <mergeCell ref="BS22:CA22"/>
    <mergeCell ref="ER22:EU22"/>
    <mergeCell ref="P23:R23"/>
    <mergeCell ref="BH23:BQ23"/>
    <mergeCell ref="BS23:CA23"/>
    <mergeCell ref="ER23:EU23"/>
    <mergeCell ref="AS20:BF20"/>
    <mergeCell ref="DJ20:DM20"/>
    <mergeCell ref="ER20:FL20"/>
    <mergeCell ref="C21:T21"/>
    <mergeCell ref="W21:AO21"/>
    <mergeCell ref="BH21:BQ21"/>
    <mergeCell ref="BS21:CA21"/>
    <mergeCell ref="ER21:EU21"/>
    <mergeCell ref="EW21:EY21"/>
    <mergeCell ref="DJ17:ED17"/>
    <mergeCell ref="ER17:EU17"/>
    <mergeCell ref="DJ18:DM18"/>
    <mergeCell ref="DO18:DQ18"/>
    <mergeCell ref="ER18:EU18"/>
    <mergeCell ref="BH19:BQ20"/>
    <mergeCell ref="BS19:CA20"/>
    <mergeCell ref="DJ19:DM19"/>
    <mergeCell ref="ER19:EU19"/>
    <mergeCell ref="H12:W12"/>
    <mergeCell ref="AE12:AN12"/>
    <mergeCell ref="BH12:BQ12"/>
    <mergeCell ref="BS12:CA12"/>
    <mergeCell ref="DJ12:DM12"/>
    <mergeCell ref="DO12:DQ12"/>
    <mergeCell ref="ER12:EU12"/>
    <mergeCell ref="H11:W11"/>
    <mergeCell ref="AE11:AN11"/>
    <mergeCell ref="BH11:BQ11"/>
    <mergeCell ref="BS11:CA11"/>
    <mergeCell ref="CH6:DU6"/>
    <mergeCell ref="EF6:EV6"/>
    <mergeCell ref="EW11:EZ11"/>
    <mergeCell ref="C7:AO8"/>
    <mergeCell ref="DJ7:EC7"/>
    <mergeCell ref="ER7:FK7"/>
    <mergeCell ref="DJ8:DM8"/>
    <mergeCell ref="DO8:DQ8"/>
    <mergeCell ref="ER8:EU8"/>
    <mergeCell ref="EW8:EY8"/>
    <mergeCell ref="BH9:BQ10"/>
    <mergeCell ref="C123:AO124"/>
    <mergeCell ref="DJ11:EC11"/>
    <mergeCell ref="ER11:EU11"/>
    <mergeCell ref="BS9:CA10"/>
    <mergeCell ref="DJ9:DM9"/>
    <mergeCell ref="ER9:EU9"/>
    <mergeCell ref="AS10:BF10"/>
    <mergeCell ref="DJ10:DM10"/>
    <mergeCell ref="ER10:FK10"/>
    <mergeCell ref="BH15:BQ15"/>
    <mergeCell ref="BS15:CA15"/>
    <mergeCell ref="DJ15:DM15"/>
    <mergeCell ref="ER15:EU15"/>
    <mergeCell ref="EW15:EY15"/>
    <mergeCell ref="DJ16:DM16"/>
    <mergeCell ref="ER16:EU16"/>
    <mergeCell ref="BH13:BQ13"/>
    <mergeCell ref="BS13:CA13"/>
    <mergeCell ref="DJ13:DM13"/>
    <mergeCell ref="ER13:EU13"/>
    <mergeCell ref="BH14:BQ14"/>
    <mergeCell ref="BS14:CA14"/>
    <mergeCell ref="DJ14:DM14"/>
    <mergeCell ref="ER14:FK14"/>
    <mergeCell ref="AZ93:BI93"/>
    <mergeCell ref="AZ94:BI94"/>
    <mergeCell ref="BQ81:BX81"/>
    <mergeCell ref="EW25:FA25"/>
    <mergeCell ref="BL91:CA91"/>
    <mergeCell ref="CB91:CD91"/>
    <mergeCell ref="BQ87:CE87"/>
    <mergeCell ref="AS112:CE112"/>
    <mergeCell ref="AS113:CE117"/>
    <mergeCell ref="DO46:DQ46"/>
    <mergeCell ref="DR71:DY71"/>
    <mergeCell ref="EC71:EI71"/>
    <mergeCell ref="DR72:DY72"/>
    <mergeCell ref="EC72:EI72"/>
    <mergeCell ref="DR73:DY73"/>
    <mergeCell ref="EC73:EI73"/>
    <mergeCell ref="DR67:DZ67"/>
    <mergeCell ref="DR68:DY68"/>
    <mergeCell ref="EC68:EI68"/>
    <mergeCell ref="DR69:DY69"/>
    <mergeCell ref="EC69:EI69"/>
    <mergeCell ref="DR70:DY70"/>
    <mergeCell ref="EC70:EI70"/>
  </mergeCells>
  <dataValidations disablePrompts="1" count="1">
    <dataValidation allowBlank="1" showErrorMessage="1" sqref="S17:U17" xr:uid="{F38BC7E4-1E96-4711-AA28-97C9DE850C99}"/>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F945F-49DC-408C-878F-4AC7F46A40E6}">
  <sheetPr>
    <pageSetUpPr fitToPage="1"/>
  </sheetPr>
  <dimension ref="B1:IC325"/>
  <sheetViews>
    <sheetView zoomScaleNormal="100" workbookViewId="0">
      <selection activeCell="CG1" sqref="CG1:HJ1048576"/>
    </sheetView>
  </sheetViews>
  <sheetFormatPr defaultRowHeight="15" x14ac:dyDescent="0.25"/>
  <cols>
    <col min="1" max="84" width="2.7109375" style="1" customWidth="1"/>
    <col min="85" max="128" width="2.7109375" style="1" hidden="1" customWidth="1"/>
    <col min="129" max="131" width="2.7109375" style="2" hidden="1" customWidth="1"/>
    <col min="132" max="133" width="2.7109375" style="1" hidden="1" customWidth="1"/>
    <col min="134" max="148" width="2.7109375" style="3" hidden="1" customWidth="1"/>
    <col min="149" max="218" width="2.7109375" style="1" hidden="1" customWidth="1"/>
    <col min="219" max="249" width="2.7109375" style="1" customWidth="1"/>
    <col min="250" max="302" width="9.140625" style="1" customWidth="1"/>
    <col min="303" max="16384" width="9.140625" style="1"/>
  </cols>
  <sheetData>
    <row r="1" spans="2:193" ht="18" customHeight="1" x14ac:dyDescent="0.25"/>
    <row r="2" spans="2:193"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93" ht="18" customHeight="1" x14ac:dyDescent="0.25">
      <c r="B3" s="7"/>
      <c r="AO3" s="8" t="s">
        <v>0</v>
      </c>
      <c r="AP3" s="9"/>
      <c r="AR3" s="7"/>
      <c r="CF3" s="9"/>
    </row>
    <row r="4" spans="2:193" ht="18" customHeight="1" x14ac:dyDescent="0.25">
      <c r="B4" s="7"/>
      <c r="AO4" s="10" t="s">
        <v>1</v>
      </c>
      <c r="AP4" s="9"/>
      <c r="AR4" s="7"/>
      <c r="CF4" s="9"/>
    </row>
    <row r="5" spans="2:193" ht="18" customHeight="1" thickBot="1" x14ac:dyDescent="0.3">
      <c r="B5" s="7"/>
      <c r="AO5" s="10" t="s">
        <v>2</v>
      </c>
      <c r="AP5" s="9"/>
      <c r="AR5" s="7"/>
      <c r="AS5" s="11" t="str">
        <f>C7</f>
        <v xml:space="preserve">MotorVAR™ SIZING TOOL - MOTOR START CAPACITOR BANK
MotorVAR + RVSS CONFIGURATION </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row>
    <row r="6" spans="2:193"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71" t="s">
        <v>188</v>
      </c>
      <c r="AP6" s="9"/>
      <c r="AR6" s="7"/>
      <c r="CF6" s="9"/>
      <c r="CH6" s="101" t="s">
        <v>4</v>
      </c>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EF6" s="152" t="s">
        <v>157</v>
      </c>
      <c r="EG6" s="152"/>
      <c r="EH6" s="152"/>
      <c r="EI6" s="152"/>
      <c r="EJ6" s="152"/>
      <c r="EK6" s="152"/>
      <c r="EL6" s="152"/>
      <c r="EM6" s="152"/>
      <c r="EN6" s="152"/>
      <c r="EO6" s="152"/>
      <c r="EP6" s="152"/>
      <c r="EQ6" s="152"/>
      <c r="ER6" s="152"/>
      <c r="ES6" s="152"/>
      <c r="ET6" s="152"/>
      <c r="EU6" s="152"/>
      <c r="EV6" s="152"/>
    </row>
    <row r="7" spans="2:193" ht="18" customHeight="1" x14ac:dyDescent="0.25">
      <c r="B7" s="7"/>
      <c r="C7" s="153" t="s">
        <v>236</v>
      </c>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9"/>
      <c r="AR7" s="7"/>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Z7" s="14"/>
      <c r="CA7" s="14"/>
      <c r="CB7" s="14"/>
      <c r="CC7" s="14"/>
      <c r="CD7" s="14"/>
      <c r="CE7" s="14"/>
      <c r="CF7" s="9"/>
      <c r="DE7" s="15"/>
      <c r="DF7" s="15"/>
      <c r="DG7" s="15"/>
      <c r="DH7" s="15"/>
      <c r="DI7" s="16" t="s">
        <v>6</v>
      </c>
      <c r="DJ7" s="118" t="str">
        <f>IMDIV(P27*1000/1.73,CI40)</f>
        <v>180.525977517604-1015.17329643023i</v>
      </c>
      <c r="DK7" s="118"/>
      <c r="DL7" s="118"/>
      <c r="DM7" s="118"/>
      <c r="DN7" s="118"/>
      <c r="DO7" s="118"/>
      <c r="DP7" s="118"/>
      <c r="DQ7" s="118"/>
      <c r="DR7" s="118"/>
      <c r="DS7" s="118"/>
      <c r="DT7" s="118"/>
      <c r="DU7" s="118"/>
      <c r="DV7" s="118"/>
      <c r="DW7" s="118"/>
      <c r="DX7" s="118"/>
      <c r="DY7" s="118"/>
      <c r="DZ7" s="118"/>
      <c r="EA7" s="118"/>
      <c r="EB7" s="118"/>
      <c r="EC7" s="118"/>
      <c r="EH7" s="17"/>
      <c r="EI7" s="17"/>
      <c r="EJ7" s="17"/>
      <c r="EK7" s="17"/>
      <c r="EL7" s="17"/>
      <c r="EM7" s="17"/>
      <c r="EN7" s="17"/>
      <c r="EO7" s="17"/>
      <c r="EP7" s="17"/>
      <c r="EQ7" s="16" t="s">
        <v>7</v>
      </c>
      <c r="ER7" s="118" t="str">
        <f>IMDIV(P27*1000/1.73,CI45)</f>
        <v>229.588609086686-491.432104472521i</v>
      </c>
      <c r="ES7" s="118"/>
      <c r="ET7" s="118"/>
      <c r="EU7" s="118"/>
      <c r="EV7" s="118"/>
      <c r="EW7" s="118"/>
      <c r="EX7" s="118"/>
      <c r="EY7" s="118"/>
      <c r="EZ7" s="118"/>
      <c r="FA7" s="118"/>
      <c r="FB7" s="118"/>
      <c r="FC7" s="118"/>
      <c r="FD7" s="118"/>
      <c r="FE7" s="118"/>
      <c r="FF7" s="118"/>
      <c r="FG7" s="118"/>
      <c r="FH7" s="118"/>
      <c r="FI7" s="118"/>
      <c r="FJ7" s="118"/>
      <c r="FK7" s="118"/>
      <c r="FL7" s="3"/>
      <c r="FM7" s="100" t="str">
        <f>FK36</f>
        <v>186.5628553293+152.394681109349i</v>
      </c>
      <c r="FN7" s="100"/>
      <c r="FO7" s="100"/>
      <c r="FP7" s="100"/>
      <c r="FQ7" s="100"/>
      <c r="FR7" s="100"/>
      <c r="FS7" s="100"/>
      <c r="FT7" s="100"/>
      <c r="FU7" s="100"/>
      <c r="FV7" s="100"/>
      <c r="FW7" s="100"/>
      <c r="FX7" s="100"/>
      <c r="FY7" s="100"/>
      <c r="FZ7" s="100"/>
      <c r="GA7" s="100"/>
      <c r="GB7" s="100"/>
      <c r="GC7" s="100"/>
    </row>
    <row r="8" spans="2:193" ht="18" customHeight="1" x14ac:dyDescent="0.25">
      <c r="B8" s="7"/>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9"/>
      <c r="AR8" s="7"/>
      <c r="AS8" s="18" t="s">
        <v>8</v>
      </c>
      <c r="CF8" s="9"/>
      <c r="DI8" s="19" t="s">
        <v>6</v>
      </c>
      <c r="DJ8" s="113">
        <f>IMABS(DJ7)</f>
        <v>1031.0996316281498</v>
      </c>
      <c r="DK8" s="113"/>
      <c r="DL8" s="113"/>
      <c r="DM8" s="113"/>
      <c r="DN8" s="3" t="s">
        <v>9</v>
      </c>
      <c r="DO8" s="93">
        <f>DEGREES(IMARGUMENT(DJ7))</f>
        <v>-79.916626866690407</v>
      </c>
      <c r="DP8" s="93"/>
      <c r="DQ8" s="93"/>
      <c r="DR8" s="1" t="s">
        <v>10</v>
      </c>
      <c r="DT8" s="3"/>
      <c r="DU8" s="3"/>
      <c r="DV8" s="3"/>
      <c r="DW8" s="3"/>
      <c r="DX8" s="3"/>
      <c r="DY8" s="3"/>
      <c r="DZ8" s="3"/>
      <c r="EA8" s="3"/>
      <c r="EB8" s="3"/>
      <c r="EC8" s="3"/>
      <c r="EQ8" s="19" t="s">
        <v>7</v>
      </c>
      <c r="ER8" s="114">
        <f>IMABS(ER7)</f>
        <v>542.41722200594813</v>
      </c>
      <c r="ES8" s="114"/>
      <c r="ET8" s="114"/>
      <c r="EU8" s="114"/>
      <c r="EV8" s="3" t="s">
        <v>9</v>
      </c>
      <c r="EW8" s="93">
        <f>DEGREES(IMARGUMENT(ER7))</f>
        <v>-64.958829207825687</v>
      </c>
      <c r="EX8" s="93"/>
      <c r="EY8" s="93"/>
      <c r="EZ8" s="1" t="s">
        <v>10</v>
      </c>
      <c r="FB8" s="3"/>
      <c r="FC8" s="3"/>
      <c r="FD8" s="3"/>
      <c r="FE8" s="3"/>
      <c r="FF8" s="3"/>
      <c r="FG8" s="3"/>
      <c r="FH8" s="3"/>
      <c r="FI8" s="3"/>
      <c r="FJ8" s="3"/>
      <c r="FK8" s="3"/>
      <c r="FL8" s="3"/>
      <c r="FM8" s="114">
        <f>IMABS(FM7)</f>
        <v>240.89383101076183</v>
      </c>
      <c r="FN8" s="114"/>
      <c r="FO8" s="114"/>
      <c r="FP8" s="114"/>
      <c r="FQ8" s="3" t="s">
        <v>9</v>
      </c>
      <c r="FR8" s="93">
        <f>DEGREES(IMARGUMENT(FM7))</f>
        <v>39.243817741141555</v>
      </c>
      <c r="FS8" s="93"/>
      <c r="FT8" s="93"/>
      <c r="FU8" s="1" t="s">
        <v>10</v>
      </c>
      <c r="FW8" s="3"/>
      <c r="FX8" s="3"/>
    </row>
    <row r="9" spans="2:193" ht="18" customHeight="1" x14ac:dyDescent="0.25">
      <c r="B9" s="7"/>
      <c r="C9" s="18" t="s">
        <v>11</v>
      </c>
      <c r="D9" s="20"/>
      <c r="E9" s="21"/>
      <c r="F9" s="21"/>
      <c r="G9" s="21"/>
      <c r="H9" s="21"/>
      <c r="I9" s="22"/>
      <c r="J9" s="23"/>
      <c r="K9" s="23"/>
      <c r="L9" s="23"/>
      <c r="M9" s="23"/>
      <c r="N9" s="23"/>
      <c r="O9" s="23"/>
      <c r="P9" s="23"/>
      <c r="Q9" s="23"/>
      <c r="R9" s="23"/>
      <c r="S9" s="23"/>
      <c r="T9" s="23"/>
      <c r="U9" s="23"/>
      <c r="V9" s="23"/>
      <c r="W9" s="23"/>
      <c r="X9" s="23"/>
      <c r="Y9" s="23"/>
      <c r="Z9" s="23"/>
      <c r="AA9" s="23"/>
      <c r="AB9" s="23"/>
      <c r="AC9" s="23" t="s">
        <v>12</v>
      </c>
      <c r="AD9" s="23"/>
      <c r="AE9" s="23"/>
      <c r="AG9" s="24"/>
      <c r="AH9" s="24"/>
      <c r="AI9" s="24"/>
      <c r="AJ9" s="24"/>
      <c r="AK9" s="24"/>
      <c r="AL9" s="24"/>
      <c r="AM9" s="24"/>
      <c r="AN9" s="25" t="str">
        <f ca="1">"" &amp; TEXT(TODAY(), "mmmm d, yyyy")</f>
        <v>April 13, 2026</v>
      </c>
      <c r="AO9" s="24"/>
      <c r="AP9" s="9"/>
      <c r="AR9" s="7"/>
      <c r="BH9" s="144" t="s">
        <v>156</v>
      </c>
      <c r="BI9" s="144"/>
      <c r="BJ9" s="144"/>
      <c r="BK9" s="144"/>
      <c r="BL9" s="144"/>
      <c r="BM9" s="144"/>
      <c r="BN9" s="144"/>
      <c r="BO9" s="58"/>
      <c r="BP9" s="146" t="s">
        <v>158</v>
      </c>
      <c r="BQ9" s="146"/>
      <c r="BR9" s="146"/>
      <c r="BS9" s="146"/>
      <c r="BT9" s="146"/>
      <c r="BU9" s="146"/>
      <c r="BV9" s="146"/>
      <c r="BX9" s="148" t="s">
        <v>199</v>
      </c>
      <c r="BY9" s="148"/>
      <c r="BZ9" s="148"/>
      <c r="CA9" s="148"/>
      <c r="CB9" s="148"/>
      <c r="CC9" s="148"/>
      <c r="CD9" s="148"/>
      <c r="CE9" s="148"/>
      <c r="CF9" s="9"/>
      <c r="DI9" s="19" t="s">
        <v>15</v>
      </c>
      <c r="DJ9" s="111">
        <f>DJ8/P33</f>
        <v>2.9300927298327646</v>
      </c>
      <c r="DK9" s="111"/>
      <c r="DL9" s="111"/>
      <c r="DM9" s="111"/>
      <c r="EQ9" s="19" t="s">
        <v>16</v>
      </c>
      <c r="ER9" s="111">
        <f>ER8/P33</f>
        <v>1.5413959136287245</v>
      </c>
      <c r="ES9" s="111"/>
      <c r="ET9" s="111"/>
      <c r="EU9" s="111"/>
      <c r="FM9" s="111">
        <f>FM8/P33</f>
        <v>0.68455194944803022</v>
      </c>
      <c r="FN9" s="111"/>
      <c r="FO9" s="111"/>
      <c r="FP9" s="111"/>
    </row>
    <row r="10" spans="2:193" ht="18" customHeight="1" x14ac:dyDescent="0.25">
      <c r="B10" s="7"/>
      <c r="D10" s="23"/>
      <c r="E10" s="23"/>
      <c r="F10" s="23"/>
      <c r="G10" s="10" t="s">
        <v>20</v>
      </c>
      <c r="H10" s="157" t="s">
        <v>21</v>
      </c>
      <c r="I10" s="157"/>
      <c r="J10" s="157"/>
      <c r="K10" s="157"/>
      <c r="L10" s="157"/>
      <c r="M10" s="157"/>
      <c r="N10" s="157"/>
      <c r="O10" s="157"/>
      <c r="P10" s="157"/>
      <c r="Q10" s="157"/>
      <c r="R10" s="157"/>
      <c r="S10" s="157"/>
      <c r="T10" s="157"/>
      <c r="U10" s="157"/>
      <c r="V10" s="157"/>
      <c r="W10" s="157"/>
      <c r="X10" s="23"/>
      <c r="Y10" s="23"/>
      <c r="Z10" s="23"/>
      <c r="AA10" s="23"/>
      <c r="AC10" s="10" t="s">
        <v>22</v>
      </c>
      <c r="AD10" s="23"/>
      <c r="AE10" s="158" t="s">
        <v>23</v>
      </c>
      <c r="AF10" s="158"/>
      <c r="AG10" s="158"/>
      <c r="AH10" s="158"/>
      <c r="AI10" s="158"/>
      <c r="AJ10" s="158"/>
      <c r="AK10" s="158"/>
      <c r="AL10" s="158"/>
      <c r="AM10" s="158"/>
      <c r="AN10" s="158"/>
      <c r="AP10" s="9"/>
      <c r="AR10" s="7"/>
      <c r="AS10" s="155" t="s">
        <v>17</v>
      </c>
      <c r="AT10" s="155"/>
      <c r="AU10" s="155"/>
      <c r="AV10" s="155"/>
      <c r="AW10" s="155"/>
      <c r="AX10" s="155"/>
      <c r="AY10" s="155"/>
      <c r="AZ10" s="155"/>
      <c r="BA10" s="155"/>
      <c r="BB10" s="155"/>
      <c r="BC10" s="155"/>
      <c r="BD10" s="155"/>
      <c r="BE10" s="155"/>
      <c r="BF10" s="155"/>
      <c r="BH10" s="145"/>
      <c r="BI10" s="145"/>
      <c r="BJ10" s="145"/>
      <c r="BK10" s="145"/>
      <c r="BL10" s="145"/>
      <c r="BM10" s="145"/>
      <c r="BN10" s="145"/>
      <c r="BO10" s="58"/>
      <c r="BP10" s="147"/>
      <c r="BQ10" s="147"/>
      <c r="BR10" s="147"/>
      <c r="BS10" s="147"/>
      <c r="BT10" s="147"/>
      <c r="BU10" s="147"/>
      <c r="BV10" s="147"/>
      <c r="BX10" s="149"/>
      <c r="BY10" s="149"/>
      <c r="BZ10" s="149"/>
      <c r="CA10" s="149"/>
      <c r="CB10" s="149"/>
      <c r="CC10" s="149"/>
      <c r="CD10" s="149"/>
      <c r="CE10" s="149"/>
      <c r="CF10" s="9"/>
      <c r="DI10" s="19" t="s">
        <v>18</v>
      </c>
      <c r="DJ10" s="111">
        <f>(DJ9/(P36/100))^2</f>
        <v>0.34341773621675287</v>
      </c>
      <c r="DK10" s="111"/>
      <c r="DL10" s="111"/>
      <c r="DM10" s="111"/>
      <c r="DO10" s="3" t="s">
        <v>12</v>
      </c>
      <c r="EM10" s="17"/>
      <c r="EN10" s="17"/>
      <c r="EO10" s="17"/>
      <c r="EP10" s="17"/>
      <c r="EQ10" s="16" t="s">
        <v>19</v>
      </c>
      <c r="ER10" s="156" t="str">
        <f>IMDIV(IMDIV(ER14,CI34),"1.73+0i")</f>
        <v>174.446166361749-1300.68468468626i</v>
      </c>
      <c r="ES10" s="156"/>
      <c r="ET10" s="156"/>
      <c r="EU10" s="156"/>
      <c r="EV10" s="156"/>
      <c r="EW10" s="156"/>
      <c r="EX10" s="156"/>
      <c r="EY10" s="156"/>
      <c r="EZ10" s="156"/>
      <c r="FA10" s="156"/>
      <c r="FB10" s="156"/>
      <c r="FC10" s="156"/>
      <c r="FD10" s="156"/>
      <c r="FE10" s="156"/>
      <c r="FF10" s="156"/>
      <c r="FG10" s="156"/>
      <c r="FH10" s="156"/>
      <c r="FI10" s="156"/>
      <c r="FJ10" s="156"/>
      <c r="FK10" s="156"/>
      <c r="FM10" s="100" t="str">
        <f>FK33</f>
        <v>117.893567262158-871.816793214711i</v>
      </c>
      <c r="FN10" s="100"/>
      <c r="FO10" s="100"/>
      <c r="FP10" s="100"/>
      <c r="FQ10" s="100"/>
      <c r="FR10" s="100"/>
      <c r="FS10" s="100"/>
      <c r="FT10" s="100"/>
      <c r="FU10" s="100"/>
      <c r="FV10" s="100"/>
      <c r="FW10" s="100"/>
      <c r="FX10" s="100"/>
      <c r="FY10" s="100"/>
      <c r="FZ10" s="100"/>
      <c r="GA10" s="100"/>
      <c r="GB10" s="100"/>
      <c r="GC10" s="100"/>
    </row>
    <row r="11" spans="2:193" ht="18" customHeight="1" x14ac:dyDescent="0.25">
      <c r="B11" s="7"/>
      <c r="C11" s="23"/>
      <c r="D11" s="23"/>
      <c r="E11" s="23"/>
      <c r="F11" s="23"/>
      <c r="G11" s="10" t="s">
        <v>26</v>
      </c>
      <c r="H11" s="157" t="s">
        <v>21</v>
      </c>
      <c r="I11" s="157"/>
      <c r="J11" s="157"/>
      <c r="K11" s="157"/>
      <c r="L11" s="157"/>
      <c r="M11" s="157"/>
      <c r="N11" s="157"/>
      <c r="O11" s="157"/>
      <c r="P11" s="157"/>
      <c r="Q11" s="157"/>
      <c r="R11" s="157"/>
      <c r="S11" s="157"/>
      <c r="T11" s="157"/>
      <c r="U11" s="157"/>
      <c r="V11" s="157"/>
      <c r="W11" s="157"/>
      <c r="X11" s="23"/>
      <c r="Y11" s="23"/>
      <c r="Z11" s="23"/>
      <c r="AA11" s="23"/>
      <c r="AB11" s="23"/>
      <c r="AC11" s="10" t="s">
        <v>27</v>
      </c>
      <c r="AD11" s="23"/>
      <c r="AE11" s="159" t="s">
        <v>28</v>
      </c>
      <c r="AF11" s="160"/>
      <c r="AG11" s="160"/>
      <c r="AH11" s="160"/>
      <c r="AI11" s="160"/>
      <c r="AJ11" s="160"/>
      <c r="AK11" s="160"/>
      <c r="AL11" s="160"/>
      <c r="AM11" s="160"/>
      <c r="AN11" s="161"/>
      <c r="AO11" s="23"/>
      <c r="AP11" s="9"/>
      <c r="AR11" s="7"/>
      <c r="BF11" s="10" t="s">
        <v>24</v>
      </c>
      <c r="BH11" s="163" t="str">
        <f>ROUND(DJ8,0)&amp;" amps, "&amp;ROUND(DO8,1 )&amp;"°"</f>
        <v>1031 amps, -79.9°</v>
      </c>
      <c r="BI11" s="163"/>
      <c r="BJ11" s="163"/>
      <c r="BK11" s="163"/>
      <c r="BL11" s="163"/>
      <c r="BM11" s="163"/>
      <c r="BN11" s="163"/>
      <c r="BO11" s="62"/>
      <c r="BP11" s="164" t="str">
        <f>ROUND(ER11,0)&amp;" amps, "&amp;ROUND(EW11,1)&amp;"°"</f>
        <v>1312 amps, -82.4°</v>
      </c>
      <c r="BQ11" s="164"/>
      <c r="BR11" s="164"/>
      <c r="BS11" s="164"/>
      <c r="BT11" s="164"/>
      <c r="BU11" s="164"/>
      <c r="BV11" s="164"/>
      <c r="BX11" s="143" t="str">
        <f>ROUND(FM11,0)&amp;" amps"&amp;ROUND(FR11,1)&amp;"°"</f>
        <v>880 amps-82.3°</v>
      </c>
      <c r="BY11" s="143"/>
      <c r="BZ11" s="143"/>
      <c r="CA11" s="143"/>
      <c r="CB11" s="143"/>
      <c r="CC11" s="143"/>
      <c r="CD11" s="143"/>
      <c r="CE11" s="143"/>
      <c r="CF11" s="9"/>
      <c r="DA11" s="15"/>
      <c r="DB11" s="15"/>
      <c r="DC11" s="15"/>
      <c r="DD11" s="15"/>
      <c r="DE11" s="15"/>
      <c r="DF11" s="15"/>
      <c r="DG11" s="15"/>
      <c r="DH11" s="15"/>
      <c r="DI11" s="16" t="s">
        <v>25</v>
      </c>
      <c r="DJ11" s="118" t="str">
        <f>IMPRODUCT(CI34,DJ7,"1.73+0i")</f>
        <v>8084.45353886129-205.145468172041i</v>
      </c>
      <c r="DK11" s="118"/>
      <c r="DL11" s="118"/>
      <c r="DM11" s="118"/>
      <c r="DN11" s="118"/>
      <c r="DO11" s="118"/>
      <c r="DP11" s="118"/>
      <c r="DQ11" s="118"/>
      <c r="DR11" s="118"/>
      <c r="DS11" s="118"/>
      <c r="DT11" s="118"/>
      <c r="DU11" s="118"/>
      <c r="DV11" s="118"/>
      <c r="DW11" s="118"/>
      <c r="DX11" s="118"/>
      <c r="DY11" s="118"/>
      <c r="DZ11" s="118"/>
      <c r="EA11" s="118"/>
      <c r="EB11" s="118"/>
      <c r="EC11" s="118"/>
      <c r="EQ11" s="26" t="s">
        <v>19</v>
      </c>
      <c r="ER11" s="94">
        <f>IMABS(ER10)</f>
        <v>1312.3307944019703</v>
      </c>
      <c r="ES11" s="94"/>
      <c r="ET11" s="94"/>
      <c r="EU11" s="94"/>
      <c r="EV11" s="1" t="s">
        <v>9</v>
      </c>
      <c r="EW11" s="100">
        <f>DEGREES(IMARGUMENT(ER10))</f>
        <v>-82.361147804725107</v>
      </c>
      <c r="EX11" s="100"/>
      <c r="EY11" s="100"/>
      <c r="EZ11" s="100"/>
      <c r="FA11" s="1" t="s">
        <v>10</v>
      </c>
      <c r="FM11" s="94">
        <f>IMABS(FM10)</f>
        <v>879.75190487601617</v>
      </c>
      <c r="FN11" s="94"/>
      <c r="FO11" s="94"/>
      <c r="FP11" s="94"/>
      <c r="FQ11" s="1" t="s">
        <v>9</v>
      </c>
      <c r="FR11" s="100">
        <f>DEGREES(IMARGUMENT(FM10))</f>
        <v>-82.298753595306252</v>
      </c>
      <c r="FS11" s="100"/>
      <c r="FT11" s="100"/>
      <c r="FU11" s="100"/>
      <c r="FV11" s="1" t="s">
        <v>10</v>
      </c>
      <c r="GE11" s="93" t="str">
        <f>ROUND(FM11,0)&amp;" amps"</f>
        <v>880 amps</v>
      </c>
      <c r="GF11" s="93"/>
      <c r="GG11" s="93"/>
      <c r="GH11" s="93"/>
      <c r="GI11" s="93"/>
      <c r="GJ11" s="93"/>
      <c r="GK11" s="93"/>
    </row>
    <row r="12" spans="2:193" ht="18" customHeight="1" x14ac:dyDescent="0.25">
      <c r="B12" s="7"/>
      <c r="C12" s="23"/>
      <c r="AO12" s="23"/>
      <c r="AP12" s="9"/>
      <c r="AR12" s="7"/>
      <c r="AT12" s="19"/>
      <c r="AU12" s="19"/>
      <c r="AV12" s="19"/>
      <c r="AW12" s="19"/>
      <c r="AX12" s="19"/>
      <c r="AY12" s="19"/>
      <c r="AZ12" s="19"/>
      <c r="BA12" s="19"/>
      <c r="BB12" s="19"/>
      <c r="BC12" s="19"/>
      <c r="BD12" s="19"/>
      <c r="BE12" s="19"/>
      <c r="BF12" s="10" t="s">
        <v>29</v>
      </c>
      <c r="BH12" s="125">
        <f>DJ9</f>
        <v>2.9300927298327646</v>
      </c>
      <c r="BI12" s="125"/>
      <c r="BJ12" s="125"/>
      <c r="BK12" s="125"/>
      <c r="BL12" s="125"/>
      <c r="BM12" s="125"/>
      <c r="BN12" s="125"/>
      <c r="BO12" s="56"/>
      <c r="BP12" s="162">
        <f>ER12</f>
        <v>3.729271936351152</v>
      </c>
      <c r="BQ12" s="162"/>
      <c r="BR12" s="162"/>
      <c r="BS12" s="162"/>
      <c r="BT12" s="162"/>
      <c r="BU12" s="162"/>
      <c r="BV12" s="162"/>
      <c r="BW12" s="59"/>
      <c r="BX12" s="136">
        <f>FM12</f>
        <v>2.500005413117409</v>
      </c>
      <c r="BY12" s="136"/>
      <c r="BZ12" s="136"/>
      <c r="CA12" s="136"/>
      <c r="CB12" s="136"/>
      <c r="CC12" s="136"/>
      <c r="CD12" s="136"/>
      <c r="CE12" s="136"/>
      <c r="CF12" s="9"/>
      <c r="DI12" s="19" t="s">
        <v>25</v>
      </c>
      <c r="DJ12" s="113">
        <f>IMABS(DJ11)</f>
        <v>8087.0559343384266</v>
      </c>
      <c r="DK12" s="113"/>
      <c r="DL12" s="113"/>
      <c r="DM12" s="113"/>
      <c r="DN12" s="3" t="s">
        <v>9</v>
      </c>
      <c r="DO12" s="93">
        <f>DEGREES(IMARGUMENT(DJ11))</f>
        <v>-1.4535858995059119</v>
      </c>
      <c r="DP12" s="93"/>
      <c r="DQ12" s="93"/>
      <c r="DR12" s="1" t="s">
        <v>30</v>
      </c>
      <c r="DT12" s="3"/>
      <c r="EQ12" s="19" t="s">
        <v>15</v>
      </c>
      <c r="ER12" s="111">
        <f>ER11/P33</f>
        <v>3.729271936351152</v>
      </c>
      <c r="ES12" s="111"/>
      <c r="ET12" s="111"/>
      <c r="EU12" s="111"/>
      <c r="FM12" s="111">
        <f>FM11/P33</f>
        <v>2.500005413117409</v>
      </c>
      <c r="FN12" s="111"/>
      <c r="FO12" s="111"/>
      <c r="FP12" s="111"/>
      <c r="GE12" s="1" t="str">
        <f>"ILIM: "&amp;ROUND(P39,0)&amp;"%"</f>
        <v>ILIM: 250%</v>
      </c>
    </row>
    <row r="13" spans="2:193" ht="18" customHeight="1" x14ac:dyDescent="0.3">
      <c r="B13" s="7"/>
      <c r="C13" s="28" t="s">
        <v>34</v>
      </c>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9"/>
      <c r="AR13" s="7"/>
      <c r="AT13" s="19"/>
      <c r="AU13" s="19"/>
      <c r="AV13" s="19"/>
      <c r="AW13" s="19"/>
      <c r="AX13" s="19"/>
      <c r="AY13" s="19"/>
      <c r="AZ13" s="19"/>
      <c r="BA13" s="19"/>
      <c r="BB13" s="19"/>
      <c r="BC13" s="19"/>
      <c r="BD13" s="19"/>
      <c r="BE13" s="19"/>
      <c r="BF13" s="10" t="s">
        <v>31</v>
      </c>
      <c r="BH13" s="165" t="str">
        <f>ROUND(DJ12/1000,2)&amp;" kV"</f>
        <v>8.09 kV</v>
      </c>
      <c r="BI13" s="165"/>
      <c r="BJ13" s="165"/>
      <c r="BK13" s="165"/>
      <c r="BL13" s="165"/>
      <c r="BM13" s="165"/>
      <c r="BN13" s="165"/>
      <c r="BO13" s="57"/>
      <c r="BP13" s="139" t="str">
        <f>ROUND(ER15/1000,2)&amp;" kV"</f>
        <v>10.29 kV</v>
      </c>
      <c r="BQ13" s="139"/>
      <c r="BR13" s="139"/>
      <c r="BS13" s="139"/>
      <c r="BT13" s="139"/>
      <c r="BU13" s="139"/>
      <c r="BV13" s="139"/>
      <c r="BW13" s="60"/>
      <c r="BX13" s="167" t="str">
        <f>ROUND(FM15/1000,2)&amp;" kV"</f>
        <v>6.9 kV</v>
      </c>
      <c r="BY13" s="167"/>
      <c r="BZ13" s="167"/>
      <c r="CA13" s="167"/>
      <c r="CB13" s="167"/>
      <c r="CC13" s="167"/>
      <c r="CD13" s="167"/>
      <c r="CE13" s="167"/>
      <c r="CF13" s="9"/>
      <c r="DI13" s="19" t="s">
        <v>32</v>
      </c>
      <c r="DJ13" s="111">
        <f>DJ12/(P31*1000)</f>
        <v>0.58601854596655267</v>
      </c>
      <c r="DK13" s="111"/>
      <c r="DL13" s="111"/>
      <c r="DM13" s="111"/>
      <c r="EQ13" s="19" t="s">
        <v>33</v>
      </c>
      <c r="ER13" s="111">
        <f>(ER12/(P36/100))^2</f>
        <v>0.55629876701025072</v>
      </c>
      <c r="ES13" s="111"/>
      <c r="ET13" s="111"/>
      <c r="EU13" s="111"/>
      <c r="FM13" s="111">
        <f>(FM12/(P36/100))^2</f>
        <v>0.25000108262465381</v>
      </c>
      <c r="FN13" s="111"/>
      <c r="FO13" s="111"/>
      <c r="FP13" s="111"/>
    </row>
    <row r="14" spans="2:193" ht="18" customHeight="1" x14ac:dyDescent="0.25">
      <c r="B14" s="7"/>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9"/>
      <c r="AR14" s="7"/>
      <c r="AT14" s="19"/>
      <c r="AU14" s="19"/>
      <c r="AV14" s="19"/>
      <c r="AW14" s="19"/>
      <c r="AX14" s="19"/>
      <c r="AY14" s="19"/>
      <c r="AZ14" s="19"/>
      <c r="BA14" s="19"/>
      <c r="BB14" s="19"/>
      <c r="BC14" s="19"/>
      <c r="BD14" s="19"/>
      <c r="BE14" s="19"/>
      <c r="BF14" s="19" t="s">
        <v>35</v>
      </c>
      <c r="BH14" s="125">
        <f>DJ13</f>
        <v>0.58601854596655267</v>
      </c>
      <c r="BI14" s="125"/>
      <c r="BJ14" s="125"/>
      <c r="BK14" s="125"/>
      <c r="BL14" s="125"/>
      <c r="BM14" s="125"/>
      <c r="BN14" s="125"/>
      <c r="BO14" s="56"/>
      <c r="BP14" s="126">
        <f>ER16</f>
        <v>0.7458543872702289</v>
      </c>
      <c r="BQ14" s="126"/>
      <c r="BR14" s="126"/>
      <c r="BS14" s="126"/>
      <c r="BT14" s="126"/>
      <c r="BU14" s="126"/>
      <c r="BV14" s="126"/>
      <c r="BW14" s="29"/>
      <c r="BX14" s="136">
        <f>FM16</f>
        <v>0.50000108262348264</v>
      </c>
      <c r="BY14" s="136"/>
      <c r="BZ14" s="136"/>
      <c r="CA14" s="136"/>
      <c r="CB14" s="136"/>
      <c r="CC14" s="136"/>
      <c r="CD14" s="136"/>
      <c r="CE14" s="136"/>
      <c r="CF14" s="9"/>
      <c r="DI14" s="19" t="s">
        <v>36</v>
      </c>
      <c r="DJ14" s="111">
        <f>DJ12/(P27*1000)</f>
        <v>0.64852092496699487</v>
      </c>
      <c r="DK14" s="111"/>
      <c r="DL14" s="111"/>
      <c r="DM14" s="111"/>
      <c r="EH14" s="17"/>
      <c r="EI14" s="17"/>
      <c r="EJ14" s="17"/>
      <c r="EK14" s="17"/>
      <c r="EL14" s="17"/>
      <c r="EM14" s="17"/>
      <c r="EN14" s="17"/>
      <c r="EO14" s="17"/>
      <c r="EP14" s="17"/>
      <c r="EQ14" s="16" t="s">
        <v>25</v>
      </c>
      <c r="ER14" s="118" t="str">
        <f>IMPRODUCT(CI43,ER7,"1.73+0i")</f>
        <v>10268.9784373805-699.727834265653i</v>
      </c>
      <c r="ES14" s="118"/>
      <c r="ET14" s="118"/>
      <c r="EU14" s="118"/>
      <c r="EV14" s="118"/>
      <c r="EW14" s="118"/>
      <c r="EX14" s="118"/>
      <c r="EY14" s="118"/>
      <c r="EZ14" s="118"/>
      <c r="FA14" s="118"/>
      <c r="FB14" s="118"/>
      <c r="FC14" s="118"/>
      <c r="FD14" s="118"/>
      <c r="FE14" s="118"/>
      <c r="FF14" s="118"/>
      <c r="FG14" s="118"/>
      <c r="FH14" s="118"/>
      <c r="FI14" s="118"/>
      <c r="FJ14" s="118"/>
      <c r="FK14" s="118"/>
      <c r="FM14" s="100" t="str">
        <f>FK34</f>
        <v>3979.51368232418-266.81049594665i</v>
      </c>
      <c r="FN14" s="100"/>
      <c r="FO14" s="100"/>
      <c r="FP14" s="100"/>
      <c r="FQ14" s="100"/>
      <c r="FR14" s="100"/>
      <c r="FS14" s="100"/>
      <c r="FT14" s="100"/>
      <c r="FU14" s="100"/>
      <c r="FV14" s="100"/>
      <c r="FW14" s="100"/>
      <c r="FX14" s="100"/>
      <c r="FY14" s="100"/>
      <c r="FZ14" s="100"/>
      <c r="GA14" s="100"/>
      <c r="GB14" s="100"/>
      <c r="GC14" s="100"/>
    </row>
    <row r="15" spans="2:193" ht="18" customHeight="1" x14ac:dyDescent="0.25">
      <c r="B15" s="7"/>
      <c r="D15" s="29"/>
      <c r="E15" s="29"/>
      <c r="F15" s="29"/>
      <c r="G15" s="29"/>
      <c r="H15" s="29"/>
      <c r="I15" s="29"/>
      <c r="J15" s="29"/>
      <c r="K15" s="29"/>
      <c r="AP15" s="9"/>
      <c r="AR15" s="7"/>
      <c r="AT15" s="19"/>
      <c r="AU15" s="19"/>
      <c r="AV15" s="19"/>
      <c r="AW15" s="19"/>
      <c r="AX15" s="19"/>
      <c r="AY15" s="19"/>
      <c r="AZ15" s="19"/>
      <c r="BA15" s="19"/>
      <c r="BB15" s="19"/>
      <c r="BC15" s="19"/>
      <c r="BD15" s="19"/>
      <c r="BE15" s="19"/>
      <c r="BF15" s="19" t="s">
        <v>37</v>
      </c>
      <c r="BH15" s="125">
        <f>DJ10</f>
        <v>0.34341773621675287</v>
      </c>
      <c r="BI15" s="125"/>
      <c r="BJ15" s="125"/>
      <c r="BK15" s="125"/>
      <c r="BL15" s="125"/>
      <c r="BM15" s="125"/>
      <c r="BN15" s="125"/>
      <c r="BO15" s="56"/>
      <c r="BP15" s="126">
        <f>ER13</f>
        <v>0.55629876701025072</v>
      </c>
      <c r="BQ15" s="126"/>
      <c r="BR15" s="126"/>
      <c r="BS15" s="126"/>
      <c r="BT15" s="126"/>
      <c r="BU15" s="126"/>
      <c r="BV15" s="126"/>
      <c r="BW15" s="29"/>
      <c r="BX15" s="136">
        <f>FM13</f>
        <v>0.25000108262465381</v>
      </c>
      <c r="BY15" s="136"/>
      <c r="BZ15" s="136"/>
      <c r="CA15" s="136"/>
      <c r="CB15" s="136"/>
      <c r="CC15" s="136"/>
      <c r="CD15" s="136"/>
      <c r="CE15" s="136"/>
      <c r="CF15" s="9"/>
      <c r="DI15" s="19" t="s">
        <v>38</v>
      </c>
      <c r="DJ15" s="98">
        <f>1-DJ14</f>
        <v>0.35147907503300513</v>
      </c>
      <c r="DK15" s="100"/>
      <c r="DL15" s="100"/>
      <c r="DM15" s="100"/>
      <c r="EQ15" s="19" t="s">
        <v>25</v>
      </c>
      <c r="ER15" s="113">
        <f>IMABS(ER14)</f>
        <v>10292.790544329158</v>
      </c>
      <c r="ES15" s="113"/>
      <c r="ET15" s="113"/>
      <c r="EU15" s="113"/>
      <c r="EV15" s="3" t="s">
        <v>9</v>
      </c>
      <c r="EW15" s="93">
        <f>DEGREES(IMARGUMENT(ER14))</f>
        <v>-3.8981068375405741</v>
      </c>
      <c r="EX15" s="93"/>
      <c r="EY15" s="93"/>
      <c r="EZ15" s="1" t="s">
        <v>30</v>
      </c>
      <c r="FB15" s="3"/>
      <c r="FG15" s="2"/>
      <c r="FH15" s="2"/>
      <c r="FI15" s="2"/>
      <c r="FM15" s="113">
        <f>1.73*IMABS(FM14)</f>
        <v>6900.0149402040597</v>
      </c>
      <c r="FN15" s="113"/>
      <c r="FO15" s="113"/>
      <c r="FP15" s="113"/>
      <c r="FQ15" s="3" t="s">
        <v>9</v>
      </c>
      <c r="FR15" s="93">
        <f>DEGREES(IMARGUMENT(FM14))</f>
        <v>-3.8357126281217315</v>
      </c>
      <c r="FS15" s="93"/>
      <c r="FT15" s="93"/>
      <c r="FU15" s="1" t="s">
        <v>30</v>
      </c>
    </row>
    <row r="16" spans="2:193" ht="18" customHeight="1" x14ac:dyDescent="0.25">
      <c r="B16" s="7"/>
      <c r="AP16" s="9"/>
      <c r="AR16" s="7"/>
      <c r="CF16" s="9"/>
      <c r="DI16" s="19" t="s">
        <v>39</v>
      </c>
      <c r="DJ16" s="100">
        <f>P22/P27</f>
        <v>2.7666399358460305</v>
      </c>
      <c r="DK16" s="100"/>
      <c r="DL16" s="100"/>
      <c r="DM16" s="100"/>
      <c r="EQ16" s="19" t="s">
        <v>32</v>
      </c>
      <c r="ER16" s="111">
        <f>ER15/(P31*1000)</f>
        <v>0.7458543872702289</v>
      </c>
      <c r="ES16" s="111"/>
      <c r="ET16" s="111"/>
      <c r="EU16" s="111"/>
      <c r="FG16" s="2"/>
      <c r="FH16" s="2"/>
      <c r="FI16" s="2"/>
      <c r="FL16" s="3"/>
      <c r="FM16" s="111">
        <f>FM15/(P31*1000)</f>
        <v>0.50000108262348264</v>
      </c>
      <c r="FN16" s="111"/>
      <c r="FO16" s="111"/>
      <c r="FP16" s="111"/>
    </row>
    <row r="17" spans="2:195" ht="18" customHeight="1" x14ac:dyDescent="0.25">
      <c r="B17" s="7"/>
      <c r="AP17" s="9"/>
      <c r="AR17" s="7"/>
      <c r="CF17" s="9"/>
      <c r="DC17" s="15"/>
      <c r="DD17" s="15"/>
      <c r="DE17" s="15"/>
      <c r="DF17" s="15"/>
      <c r="DG17" s="15"/>
      <c r="DH17" s="15"/>
      <c r="DI17" s="16" t="s">
        <v>40</v>
      </c>
      <c r="DJ17" s="118" t="str">
        <f>IMPRODUCT(IMSUM(CI34,CI30),DJ7,"1.73+0i",DJ16)</f>
        <v>23791.382103025-365.209052517109i</v>
      </c>
      <c r="DK17" s="118"/>
      <c r="DL17" s="118"/>
      <c r="DM17" s="118"/>
      <c r="DN17" s="118"/>
      <c r="DO17" s="118"/>
      <c r="DP17" s="118"/>
      <c r="DQ17" s="118"/>
      <c r="DR17" s="118"/>
      <c r="DS17" s="118"/>
      <c r="DT17" s="118"/>
      <c r="DU17" s="118"/>
      <c r="DV17" s="118"/>
      <c r="DW17" s="118"/>
      <c r="DX17" s="118"/>
      <c r="DY17" s="118"/>
      <c r="DZ17" s="118"/>
      <c r="EA17" s="118"/>
      <c r="EB17" s="118"/>
      <c r="EC17" s="118"/>
      <c r="ED17" s="118"/>
      <c r="EQ17" s="19" t="s">
        <v>36</v>
      </c>
      <c r="ER17" s="111">
        <f>ER15/(P27*1000)</f>
        <v>0.82540421365911454</v>
      </c>
      <c r="ES17" s="111"/>
      <c r="ET17" s="111"/>
      <c r="EU17" s="111"/>
      <c r="FG17" s="2"/>
      <c r="FH17" s="2"/>
      <c r="FI17" s="2"/>
      <c r="FL17" s="3"/>
      <c r="FM17" s="111">
        <f>FM15/(P27*1000)</f>
        <v>0.5533291852609511</v>
      </c>
      <c r="FN17" s="111"/>
      <c r="FO17" s="111"/>
      <c r="FP17" s="111"/>
    </row>
    <row r="18" spans="2:195" ht="18" customHeight="1" x14ac:dyDescent="0.25">
      <c r="B18" s="7"/>
      <c r="AP18" s="9"/>
      <c r="AR18" s="7"/>
      <c r="AS18" s="18" t="s">
        <v>41</v>
      </c>
      <c r="AT18" s="19"/>
      <c r="AU18" s="19"/>
      <c r="AV18" s="19"/>
      <c r="AW18" s="19"/>
      <c r="AX18" s="19"/>
      <c r="CF18" s="9"/>
      <c r="DI18" s="19" t="s">
        <v>40</v>
      </c>
      <c r="DJ18" s="110">
        <f>IMABS(DJ17)</f>
        <v>23794.185004411869</v>
      </c>
      <c r="DK18" s="110"/>
      <c r="DL18" s="110"/>
      <c r="DM18" s="110"/>
      <c r="DN18" s="3" t="s">
        <v>9</v>
      </c>
      <c r="DO18" s="93">
        <f>DEGREES(IMARGUMENT(DJ17))</f>
        <v>-0.87944844594864147</v>
      </c>
      <c r="DP18" s="93"/>
      <c r="DQ18" s="93"/>
      <c r="DR18" s="1" t="s">
        <v>30</v>
      </c>
      <c r="EQ18" s="19" t="s">
        <v>38</v>
      </c>
      <c r="ER18" s="98">
        <f>1-ER17</f>
        <v>0.17459578634088546</v>
      </c>
      <c r="ES18" s="100"/>
      <c r="ET18" s="100"/>
      <c r="EU18" s="100"/>
      <c r="FG18" s="2"/>
      <c r="FH18" s="2"/>
      <c r="FI18" s="2"/>
      <c r="FL18" s="3"/>
      <c r="FM18" s="98">
        <f>1-FM17</f>
        <v>0.4466708147390489</v>
      </c>
      <c r="FN18" s="100"/>
      <c r="FO18" s="100"/>
      <c r="FP18" s="100"/>
    </row>
    <row r="19" spans="2:195" ht="18" customHeight="1" x14ac:dyDescent="0.25">
      <c r="B19" s="7"/>
      <c r="AP19" s="9"/>
      <c r="AR19" s="7"/>
      <c r="BH19" s="144" t="s">
        <v>156</v>
      </c>
      <c r="BI19" s="144"/>
      <c r="BJ19" s="144"/>
      <c r="BK19" s="144"/>
      <c r="BL19" s="144"/>
      <c r="BM19" s="144"/>
      <c r="BN19" s="144"/>
      <c r="BO19" s="58"/>
      <c r="BP19" s="146" t="s">
        <v>158</v>
      </c>
      <c r="BQ19" s="146"/>
      <c r="BR19" s="146"/>
      <c r="BS19" s="146"/>
      <c r="BT19" s="146"/>
      <c r="BU19" s="146"/>
      <c r="BV19" s="146"/>
      <c r="BW19" s="14"/>
      <c r="BX19" s="148" t="s">
        <v>199</v>
      </c>
      <c r="BY19" s="148"/>
      <c r="BZ19" s="148"/>
      <c r="CA19" s="148"/>
      <c r="CB19" s="148"/>
      <c r="CC19" s="148"/>
      <c r="CD19" s="148"/>
      <c r="CE19" s="148"/>
      <c r="CF19" s="9"/>
      <c r="DI19" s="19" t="s">
        <v>43</v>
      </c>
      <c r="DJ19" s="111">
        <f>DJ18/(P22*1000)</f>
        <v>0.68968652186701074</v>
      </c>
      <c r="DK19" s="111"/>
      <c r="DL19" s="111"/>
      <c r="DM19" s="111"/>
      <c r="EQ19" s="19" t="s">
        <v>39</v>
      </c>
      <c r="ER19" s="100">
        <f>DJ16</f>
        <v>2.7666399358460305</v>
      </c>
      <c r="ES19" s="100"/>
      <c r="ET19" s="100"/>
      <c r="EU19" s="100"/>
      <c r="FG19" s="2"/>
      <c r="FH19" s="2"/>
      <c r="FI19" s="2"/>
      <c r="FL19" s="3"/>
      <c r="FM19" s="100">
        <f>ER19</f>
        <v>2.7666399358460305</v>
      </c>
      <c r="FN19" s="100"/>
      <c r="FO19" s="100"/>
      <c r="FP19" s="100"/>
    </row>
    <row r="20" spans="2:195" ht="18" customHeight="1" x14ac:dyDescent="0.3">
      <c r="B20" s="7"/>
      <c r="C20" s="28" t="s">
        <v>42</v>
      </c>
      <c r="W20" s="150" t="s">
        <v>234</v>
      </c>
      <c r="X20" s="151"/>
      <c r="Y20" s="151"/>
      <c r="Z20" s="151"/>
      <c r="AA20" s="151"/>
      <c r="AB20" s="151"/>
      <c r="AC20" s="151"/>
      <c r="AD20" s="151"/>
      <c r="AE20" s="151"/>
      <c r="AF20" s="151"/>
      <c r="AG20" s="151"/>
      <c r="AH20" s="151"/>
      <c r="AI20" s="151"/>
      <c r="AJ20" s="151"/>
      <c r="AK20" s="151"/>
      <c r="AL20" s="151"/>
      <c r="AM20" s="151"/>
      <c r="AN20" s="151"/>
      <c r="AO20" s="151"/>
      <c r="AP20" s="9"/>
      <c r="AR20" s="7"/>
      <c r="AS20" s="155" t="s">
        <v>17</v>
      </c>
      <c r="AT20" s="155"/>
      <c r="AU20" s="155"/>
      <c r="AV20" s="155"/>
      <c r="AW20" s="155"/>
      <c r="AX20" s="155"/>
      <c r="AY20" s="155"/>
      <c r="AZ20" s="155"/>
      <c r="BA20" s="155"/>
      <c r="BB20" s="155"/>
      <c r="BC20" s="155"/>
      <c r="BD20" s="155"/>
      <c r="BE20" s="155"/>
      <c r="BF20" s="155"/>
      <c r="BH20" s="145"/>
      <c r="BI20" s="145"/>
      <c r="BJ20" s="145"/>
      <c r="BK20" s="145"/>
      <c r="BL20" s="145"/>
      <c r="BM20" s="145"/>
      <c r="BN20" s="145"/>
      <c r="BO20" s="58"/>
      <c r="BP20" s="147"/>
      <c r="BQ20" s="147"/>
      <c r="BR20" s="147"/>
      <c r="BS20" s="147"/>
      <c r="BT20" s="147"/>
      <c r="BU20" s="147"/>
      <c r="BV20" s="147"/>
      <c r="BW20" s="14"/>
      <c r="BX20" s="149"/>
      <c r="BY20" s="149"/>
      <c r="BZ20" s="149"/>
      <c r="CA20" s="149"/>
      <c r="CB20" s="149"/>
      <c r="CC20" s="149"/>
      <c r="CD20" s="149"/>
      <c r="CE20" s="149"/>
      <c r="CF20" s="9"/>
      <c r="DI20" s="19" t="s">
        <v>44</v>
      </c>
      <c r="DJ20" s="98">
        <f>1-DJ19</f>
        <v>0.31031347813298926</v>
      </c>
      <c r="DK20" s="100"/>
      <c r="DL20" s="100"/>
      <c r="DM20" s="100"/>
      <c r="EQ20" s="19" t="s">
        <v>40</v>
      </c>
      <c r="ER20" s="100" t="str">
        <f>IMPRODUCT(IMSUM(CI30,CI43),ER7,"1.73+0i",ER19)</f>
        <v>29107.1230479586-1639.61932796281i</v>
      </c>
      <c r="ES20" s="100"/>
      <c r="ET20" s="100"/>
      <c r="EU20" s="100"/>
      <c r="EV20" s="100"/>
      <c r="EW20" s="100"/>
      <c r="EX20" s="100"/>
      <c r="EY20" s="100"/>
      <c r="EZ20" s="100"/>
      <c r="FA20" s="100"/>
      <c r="FB20" s="100"/>
      <c r="FC20" s="100"/>
      <c r="FD20" s="100"/>
      <c r="FE20" s="100"/>
      <c r="FF20" s="100"/>
      <c r="FG20" s="100"/>
      <c r="FH20" s="100"/>
      <c r="FI20" s="100"/>
      <c r="FJ20" s="100"/>
      <c r="FK20" s="100"/>
      <c r="FL20" s="100"/>
      <c r="FM20" s="100" t="str">
        <f>FK37</f>
        <v>7478.35311352982-447.773781527486i</v>
      </c>
      <c r="FN20" s="100"/>
      <c r="FO20" s="100"/>
      <c r="FP20" s="100"/>
      <c r="FQ20" s="100"/>
      <c r="FR20" s="100"/>
      <c r="FS20" s="100"/>
      <c r="FT20" s="100"/>
      <c r="FU20" s="100"/>
      <c r="FV20" s="100"/>
      <c r="FW20" s="100"/>
      <c r="FX20" s="100"/>
      <c r="FY20" s="100"/>
      <c r="FZ20" s="100"/>
      <c r="GA20" s="100"/>
      <c r="GB20" s="100"/>
      <c r="GC20" s="100"/>
    </row>
    <row r="21" spans="2:195" ht="18" customHeight="1" x14ac:dyDescent="0.3">
      <c r="B21" s="7"/>
      <c r="C21" s="106" t="s">
        <v>45</v>
      </c>
      <c r="D21" s="106"/>
      <c r="E21" s="106"/>
      <c r="F21" s="106"/>
      <c r="G21" s="106"/>
      <c r="H21" s="106"/>
      <c r="I21" s="106"/>
      <c r="J21" s="106"/>
      <c r="K21" s="106"/>
      <c r="L21" s="106"/>
      <c r="M21" s="106"/>
      <c r="N21" s="106"/>
      <c r="O21" s="106"/>
      <c r="P21" s="106"/>
      <c r="Q21" s="106"/>
      <c r="R21" s="106"/>
      <c r="S21" s="106"/>
      <c r="T21" s="106"/>
      <c r="W21" s="106"/>
      <c r="X21" s="106"/>
      <c r="Y21" s="106"/>
      <c r="Z21" s="106"/>
      <c r="AA21" s="106"/>
      <c r="AB21" s="106"/>
      <c r="AC21" s="106"/>
      <c r="AD21" s="106"/>
      <c r="AE21" s="106"/>
      <c r="AF21" s="106"/>
      <c r="AG21" s="106"/>
      <c r="AH21" s="106"/>
      <c r="AI21" s="106"/>
      <c r="AJ21" s="106"/>
      <c r="AK21" s="106"/>
      <c r="AL21" s="106"/>
      <c r="AM21" s="106"/>
      <c r="AN21" s="106"/>
      <c r="AO21" s="106"/>
      <c r="AP21" s="9"/>
      <c r="AR21" s="7"/>
      <c r="AS21" s="22"/>
      <c r="BF21" s="19" t="str">
        <f>"Voltage at Primary (PCC) "&amp;P22&amp;" kV Bus:"</f>
        <v>Voltage at Primary (PCC) 34.5 kV Bus:</v>
      </c>
      <c r="BH21" s="141" t="str">
        <f>ROUND(DJ18/1000,2)&amp;" kV"</f>
        <v>23.79 kV</v>
      </c>
      <c r="BI21" s="141"/>
      <c r="BJ21" s="141"/>
      <c r="BK21" s="141"/>
      <c r="BL21" s="141"/>
      <c r="BM21" s="141"/>
      <c r="BN21" s="141"/>
      <c r="BO21" s="32"/>
      <c r="BP21" s="126" t="str">
        <f>ROUND(ER21/1000,2)&amp;" kV"</f>
        <v>29.15 kV</v>
      </c>
      <c r="BQ21" s="126"/>
      <c r="BR21" s="126"/>
      <c r="BS21" s="126"/>
      <c r="BT21" s="126"/>
      <c r="BU21" s="126"/>
      <c r="BV21" s="126"/>
      <c r="BW21" s="70"/>
      <c r="BX21" s="142" t="str">
        <f>ROUND(FM21/1000,2)&amp;" kV"</f>
        <v>35.86 kV</v>
      </c>
      <c r="BY21" s="143"/>
      <c r="BZ21" s="143"/>
      <c r="CA21" s="143"/>
      <c r="CB21" s="143"/>
      <c r="CC21" s="143"/>
      <c r="CD21" s="143"/>
      <c r="CE21" s="143"/>
      <c r="CF21" s="9"/>
      <c r="EQ21" s="19" t="s">
        <v>40</v>
      </c>
      <c r="ER21" s="110">
        <f>IMABS(ER20)</f>
        <v>29153.266775262633</v>
      </c>
      <c r="ES21" s="110"/>
      <c r="ET21" s="110"/>
      <c r="EU21" s="110"/>
      <c r="EV21" s="3" t="s">
        <v>9</v>
      </c>
      <c r="EW21" s="93">
        <f>DEGREES(IMARGUMENT(ER20))</f>
        <v>-3.2240936848100166</v>
      </c>
      <c r="EX21" s="93"/>
      <c r="EY21" s="93"/>
      <c r="EZ21" s="1" t="s">
        <v>30</v>
      </c>
      <c r="FG21" s="2"/>
      <c r="FH21" s="2"/>
      <c r="FI21" s="2"/>
      <c r="FL21" s="3"/>
      <c r="FM21" s="110">
        <f>DJ16*1.73*IMABS(FM20)</f>
        <v>35857.649876070383</v>
      </c>
      <c r="FN21" s="110"/>
      <c r="FO21" s="110"/>
      <c r="FP21" s="110"/>
      <c r="FQ21" s="3" t="s">
        <v>9</v>
      </c>
      <c r="FR21" s="93">
        <f>DEGREES(IMARGUMENT(FM20))</f>
        <v>-3.4265504351902902</v>
      </c>
      <c r="FS21" s="93"/>
      <c r="FT21" s="93"/>
      <c r="FU21" s="1" t="s">
        <v>30</v>
      </c>
    </row>
    <row r="22" spans="2:195" ht="18" x14ac:dyDescent="0.25">
      <c r="B22" s="7"/>
      <c r="C22" s="23"/>
      <c r="D22" s="23"/>
      <c r="E22" s="23"/>
      <c r="F22" s="23"/>
      <c r="G22" s="23"/>
      <c r="H22" s="23"/>
      <c r="I22" s="23"/>
      <c r="K22" s="23"/>
      <c r="L22" s="30"/>
      <c r="M22" s="23"/>
      <c r="N22" s="10"/>
      <c r="O22" s="10" t="s">
        <v>47</v>
      </c>
      <c r="P22" s="117">
        <v>34.5</v>
      </c>
      <c r="Q22" s="117"/>
      <c r="R22" s="117"/>
      <c r="S22" s="23" t="s">
        <v>48</v>
      </c>
      <c r="T22" s="23"/>
      <c r="U22" s="23"/>
      <c r="V22" s="23"/>
      <c r="W22" s="23"/>
      <c r="X22" s="23"/>
      <c r="Y22" s="23"/>
      <c r="Z22" s="23"/>
      <c r="AA22" s="23"/>
      <c r="AB22" s="23"/>
      <c r="AC22" s="23"/>
      <c r="AD22" s="23"/>
      <c r="AE22" s="23"/>
      <c r="AF22" s="23"/>
      <c r="AG22" s="30"/>
      <c r="AH22" s="23"/>
      <c r="AI22" s="23"/>
      <c r="AJ22" s="30"/>
      <c r="AK22" s="23"/>
      <c r="AL22" s="23"/>
      <c r="AM22" s="23"/>
      <c r="AN22" s="23"/>
      <c r="AO22" s="23"/>
      <c r="AP22" s="9"/>
      <c r="AR22" s="7"/>
      <c r="BF22" s="19" t="s">
        <v>49</v>
      </c>
      <c r="BH22" s="125">
        <f>DJ19</f>
        <v>0.68968652186701074</v>
      </c>
      <c r="BI22" s="125"/>
      <c r="BJ22" s="125"/>
      <c r="BK22" s="125"/>
      <c r="BL22" s="125"/>
      <c r="BM22" s="125"/>
      <c r="BN22" s="125"/>
      <c r="BO22" s="32"/>
      <c r="BP22" s="126">
        <f>ER22</f>
        <v>0.84502222536993143</v>
      </c>
      <c r="BQ22" s="126"/>
      <c r="BR22" s="126"/>
      <c r="BS22" s="126"/>
      <c r="BT22" s="126"/>
      <c r="BU22" s="126"/>
      <c r="BV22" s="126"/>
      <c r="BW22" s="29"/>
      <c r="BX22" s="127">
        <f>FM22</f>
        <v>1.0393521703208808</v>
      </c>
      <c r="BY22" s="133"/>
      <c r="BZ22" s="133"/>
      <c r="CA22" s="133"/>
      <c r="CB22" s="133"/>
      <c r="CC22" s="133"/>
      <c r="CD22" s="133"/>
      <c r="CE22" s="133"/>
      <c r="CF22" s="9"/>
      <c r="EQ22" s="19" t="s">
        <v>43</v>
      </c>
      <c r="ER22" s="111">
        <f>ER21/(P22*1000)</f>
        <v>0.84502222536993143</v>
      </c>
      <c r="ES22" s="111"/>
      <c r="ET22" s="111"/>
      <c r="EU22" s="111"/>
      <c r="FG22" s="2"/>
      <c r="FH22" s="2"/>
      <c r="FI22" s="2"/>
      <c r="FL22" s="3"/>
      <c r="FM22" s="111">
        <f>FM21/(P22*1000)</f>
        <v>1.0393521703208808</v>
      </c>
      <c r="FN22" s="111"/>
      <c r="FO22" s="111"/>
      <c r="FP22" s="111"/>
    </row>
    <row r="23" spans="2:195" ht="18" x14ac:dyDescent="0.25">
      <c r="B23" s="7"/>
      <c r="C23" s="23"/>
      <c r="D23" s="23"/>
      <c r="E23" s="23"/>
      <c r="F23" s="23"/>
      <c r="G23" s="23"/>
      <c r="H23" s="23"/>
      <c r="I23" s="23"/>
      <c r="J23" s="23"/>
      <c r="K23" s="23"/>
      <c r="L23" s="30"/>
      <c r="M23" s="23"/>
      <c r="N23" s="23"/>
      <c r="O23" s="10" t="s">
        <v>50</v>
      </c>
      <c r="P23" s="117">
        <v>1.2</v>
      </c>
      <c r="Q23" s="117"/>
      <c r="R23" s="117"/>
      <c r="S23" s="23" t="s">
        <v>51</v>
      </c>
      <c r="T23" s="23"/>
      <c r="U23" s="23"/>
      <c r="V23" s="23"/>
      <c r="W23" s="23"/>
      <c r="AP23" s="9"/>
      <c r="AR23" s="7"/>
      <c r="BF23" s="19" t="s">
        <v>52</v>
      </c>
      <c r="BH23" s="125">
        <f>DJ20</f>
        <v>0.31031347813298926</v>
      </c>
      <c r="BI23" s="125"/>
      <c r="BJ23" s="125"/>
      <c r="BK23" s="125"/>
      <c r="BL23" s="125"/>
      <c r="BM23" s="125"/>
      <c r="BN23" s="125"/>
      <c r="BO23" s="32"/>
      <c r="BP23" s="126">
        <f>ER23</f>
        <v>0.15497777463006857</v>
      </c>
      <c r="BQ23" s="126"/>
      <c r="BR23" s="126"/>
      <c r="BS23" s="126"/>
      <c r="BT23" s="126"/>
      <c r="BU23" s="126"/>
      <c r="BV23" s="126"/>
      <c r="BW23" s="29"/>
      <c r="BX23" s="127">
        <f>FM23</f>
        <v>-3.9352170320880786E-2</v>
      </c>
      <c r="BY23" s="133"/>
      <c r="BZ23" s="133"/>
      <c r="CA23" s="133"/>
      <c r="CB23" s="133"/>
      <c r="CC23" s="133"/>
      <c r="CD23" s="133"/>
      <c r="CE23" s="133"/>
      <c r="CF23" s="9"/>
      <c r="CI23" s="65" t="s">
        <v>53</v>
      </c>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66"/>
      <c r="DT23" s="66"/>
      <c r="EQ23" s="19" t="s">
        <v>44</v>
      </c>
      <c r="ER23" s="98">
        <f>1-ER22</f>
        <v>0.15497777463006857</v>
      </c>
      <c r="ES23" s="100"/>
      <c r="ET23" s="100"/>
      <c r="EU23" s="100"/>
      <c r="FG23" s="2"/>
      <c r="FH23" s="2"/>
      <c r="FI23" s="2"/>
      <c r="FL23" s="3"/>
      <c r="FM23" s="98">
        <f>1-FM22</f>
        <v>-3.9352170320880786E-2</v>
      </c>
      <c r="FN23" s="100"/>
      <c r="FO23" s="100"/>
      <c r="FP23" s="100"/>
    </row>
    <row r="24" spans="2:195" ht="18" customHeight="1" x14ac:dyDescent="0.25">
      <c r="B24" s="7"/>
      <c r="C24" s="23"/>
      <c r="D24" s="23"/>
      <c r="E24" s="23"/>
      <c r="F24" s="23"/>
      <c r="G24" s="23"/>
      <c r="H24" s="23"/>
      <c r="I24" s="23"/>
      <c r="J24" s="23"/>
      <c r="K24" s="23"/>
      <c r="L24" s="30"/>
      <c r="M24" s="23"/>
      <c r="N24" s="23"/>
      <c r="O24" s="10" t="s">
        <v>54</v>
      </c>
      <c r="P24" s="117">
        <v>7</v>
      </c>
      <c r="Q24" s="117"/>
      <c r="R24" s="117"/>
      <c r="S24" s="23"/>
      <c r="T24" s="23"/>
      <c r="U24" s="23"/>
      <c r="AP24" s="9"/>
      <c r="AR24" s="7"/>
      <c r="BH24" s="32"/>
      <c r="BI24" s="32"/>
      <c r="BJ24" s="32"/>
      <c r="BK24" s="32"/>
      <c r="BL24" s="32"/>
      <c r="BM24" s="32"/>
      <c r="BN24" s="32"/>
      <c r="BO24" s="32"/>
      <c r="BP24" s="20"/>
      <c r="BQ24" s="76"/>
      <c r="BR24" s="31"/>
      <c r="BS24" s="31"/>
      <c r="BT24" s="20"/>
      <c r="BU24" s="20"/>
      <c r="BV24" s="20"/>
      <c r="BW24" s="29"/>
      <c r="BX24" s="75"/>
      <c r="BY24" s="75"/>
      <c r="BZ24" s="75"/>
      <c r="CA24" s="75"/>
      <c r="CB24" s="75"/>
      <c r="CC24" s="75"/>
      <c r="CD24" s="75"/>
      <c r="CE24" s="75"/>
      <c r="CF24" s="9"/>
      <c r="CI24" s="66" t="s">
        <v>55</v>
      </c>
      <c r="CJ24" s="119">
        <f>COS(ATAN(P24))*(((P22/1.73)/P23)*(P27/P22)^2)</f>
        <v>0.30704459766722847</v>
      </c>
      <c r="CK24" s="119"/>
      <c r="CL24" s="119"/>
      <c r="CM24" s="119"/>
      <c r="CN24" s="119"/>
      <c r="CO24" s="119"/>
      <c r="CP24" s="119"/>
      <c r="CQ24" s="119"/>
      <c r="CR24" s="119"/>
      <c r="CS24" s="119"/>
      <c r="CT24" s="119"/>
      <c r="CU24" s="119"/>
      <c r="CV24" s="119"/>
      <c r="CW24" s="119"/>
      <c r="CX24" s="119"/>
      <c r="CY24" s="119"/>
      <c r="CZ24" s="119"/>
      <c r="DA24" s="119"/>
      <c r="DB24" s="119"/>
      <c r="DC24" s="119"/>
      <c r="DD24" s="66"/>
      <c r="DE24" s="66" t="s">
        <v>56</v>
      </c>
      <c r="DF24" s="66"/>
      <c r="DG24" s="66"/>
      <c r="DH24" s="66"/>
      <c r="DI24" s="66"/>
      <c r="DJ24" s="119">
        <f>IMABS(CI26)</f>
        <v>2.1711331713719253</v>
      </c>
      <c r="DK24" s="119"/>
      <c r="DL24" s="119"/>
      <c r="DM24" s="119"/>
      <c r="DN24" s="66" t="s">
        <v>9</v>
      </c>
      <c r="DO24" s="119">
        <f>DEGREES(IMARGUMENT(CI26))</f>
        <v>81.869897645844034</v>
      </c>
      <c r="DP24" s="119"/>
      <c r="DQ24" s="119"/>
      <c r="DR24" s="66" t="s">
        <v>56</v>
      </c>
      <c r="DS24" s="66"/>
      <c r="DT24" s="66"/>
      <c r="FL24" s="3"/>
    </row>
    <row r="25" spans="2:195" ht="18" customHeight="1" x14ac:dyDescent="0.35">
      <c r="B25" s="7"/>
      <c r="C25" s="106" t="s">
        <v>57</v>
      </c>
      <c r="D25" s="106"/>
      <c r="E25" s="106"/>
      <c r="F25" s="106"/>
      <c r="G25" s="106"/>
      <c r="H25" s="106"/>
      <c r="I25" s="106"/>
      <c r="J25" s="106"/>
      <c r="K25" s="106"/>
      <c r="L25" s="106"/>
      <c r="M25" s="106"/>
      <c r="N25" s="106"/>
      <c r="O25" s="106"/>
      <c r="P25" s="106"/>
      <c r="Q25" s="106"/>
      <c r="R25" s="106"/>
      <c r="S25" s="106"/>
      <c r="T25" s="106"/>
      <c r="U25" s="23"/>
      <c r="V25" s="23"/>
      <c r="AP25" s="33"/>
      <c r="AR25" s="7"/>
      <c r="BB25" s="19"/>
      <c r="BC25" s="19"/>
      <c r="BD25" s="19"/>
      <c r="BE25" s="19"/>
      <c r="BF25" s="19" t="str">
        <f>"Voltage at Secondary "&amp;P27&amp;" kV Bus:"</f>
        <v>Voltage at Secondary 12.47 kV Bus:</v>
      </c>
      <c r="BH25" s="138" t="str">
        <f>ROUND(DJ12/1000,2)&amp;" kV"</f>
        <v>8.09 kV</v>
      </c>
      <c r="BI25" s="138"/>
      <c r="BJ25" s="138"/>
      <c r="BK25" s="138"/>
      <c r="BL25" s="138"/>
      <c r="BM25" s="138"/>
      <c r="BN25" s="138"/>
      <c r="BO25" s="63"/>
      <c r="BP25" s="139" t="str">
        <f>ROUND(ER15/1000,1)&amp;" kV"</f>
        <v>10.3 kV</v>
      </c>
      <c r="BQ25" s="139"/>
      <c r="BR25" s="139"/>
      <c r="BS25" s="139"/>
      <c r="BT25" s="139"/>
      <c r="BU25" s="139"/>
      <c r="BV25" s="139"/>
      <c r="BW25" s="60"/>
      <c r="BX25" s="140" t="str">
        <f>ROUND(GA32/1000,2)&amp;" kV"</f>
        <v>13.03 kV</v>
      </c>
      <c r="BY25" s="140"/>
      <c r="BZ25" s="140"/>
      <c r="CA25" s="140"/>
      <c r="CB25" s="140"/>
      <c r="CC25" s="140"/>
      <c r="CD25" s="140"/>
      <c r="CE25" s="140"/>
      <c r="CF25" s="9"/>
      <c r="CI25" s="66" t="s">
        <v>58</v>
      </c>
      <c r="CJ25" s="119">
        <f>SIN(ATAN(P24))*((P22/1.73)/P23)*(P27/P22)^2</f>
        <v>2.1493121836706002</v>
      </c>
      <c r="CK25" s="119"/>
      <c r="CL25" s="119"/>
      <c r="CM25" s="119"/>
      <c r="CN25" s="119"/>
      <c r="CO25" s="119"/>
      <c r="CP25" s="119"/>
      <c r="CQ25" s="119"/>
      <c r="CR25" s="119"/>
      <c r="CS25" s="119"/>
      <c r="CT25" s="119"/>
      <c r="CU25" s="119"/>
      <c r="CV25" s="119"/>
      <c r="CW25" s="119"/>
      <c r="CX25" s="119"/>
      <c r="CY25" s="119"/>
      <c r="CZ25" s="119"/>
      <c r="DA25" s="119"/>
      <c r="DB25" s="119"/>
      <c r="DC25" s="119"/>
      <c r="DD25" s="66"/>
      <c r="DE25" s="66" t="s">
        <v>56</v>
      </c>
      <c r="DF25" s="66"/>
      <c r="DG25" s="66"/>
      <c r="DH25" s="66"/>
      <c r="DI25" s="66"/>
      <c r="DJ25" s="66"/>
      <c r="DK25" s="66"/>
      <c r="DL25" s="66"/>
      <c r="DM25" s="66"/>
      <c r="DN25" s="66"/>
      <c r="DO25" s="66"/>
      <c r="DP25" s="66"/>
      <c r="DQ25" s="66"/>
      <c r="DR25" s="66"/>
      <c r="DS25" s="66"/>
      <c r="DT25" s="66"/>
      <c r="FH25" s="105" t="s">
        <v>174</v>
      </c>
      <c r="FI25" s="105"/>
      <c r="FJ25" s="105"/>
      <c r="FK25" s="105"/>
      <c r="FL25" s="105"/>
      <c r="FM25" s="105"/>
      <c r="FN25" s="105"/>
      <c r="FO25" s="105"/>
      <c r="FP25" s="105"/>
      <c r="FQ25" s="105"/>
      <c r="FR25" s="105"/>
      <c r="FS25" s="105"/>
      <c r="FT25" s="105"/>
      <c r="FU25" s="105"/>
      <c r="FV25" s="105"/>
      <c r="FW25" s="105"/>
      <c r="FX25" s="105"/>
      <c r="FY25" s="105"/>
      <c r="FZ25" s="105"/>
      <c r="GA25" s="105"/>
      <c r="GB25" s="105"/>
      <c r="GC25" s="105"/>
      <c r="GD25" s="105"/>
      <c r="GE25" s="105"/>
      <c r="GF25" s="105"/>
      <c r="GG25" s="105"/>
      <c r="GH25" s="105"/>
      <c r="GI25" s="105"/>
      <c r="GJ25" s="105"/>
      <c r="GK25" s="105"/>
      <c r="GL25" s="68"/>
      <c r="GM25" s="68"/>
    </row>
    <row r="26" spans="2:195" ht="18" customHeight="1" x14ac:dyDescent="0.45">
      <c r="B26" s="7"/>
      <c r="C26" s="23"/>
      <c r="K26" s="23"/>
      <c r="L26" s="30"/>
      <c r="M26" s="23"/>
      <c r="N26" s="10"/>
      <c r="O26" s="10" t="s">
        <v>59</v>
      </c>
      <c r="P26" s="117">
        <v>40</v>
      </c>
      <c r="Q26" s="117"/>
      <c r="R26" s="117"/>
      <c r="S26" s="23" t="s">
        <v>60</v>
      </c>
      <c r="T26" s="23"/>
      <c r="U26" s="23"/>
      <c r="V26" s="23"/>
      <c r="AP26" s="9"/>
      <c r="AR26" s="7"/>
      <c r="BF26" s="19" t="s">
        <v>49</v>
      </c>
      <c r="BH26" s="125">
        <f>DJ14</f>
        <v>0.64852092496699487</v>
      </c>
      <c r="BI26" s="125"/>
      <c r="BJ26" s="125"/>
      <c r="BK26" s="125"/>
      <c r="BL26" s="125"/>
      <c r="BM26" s="125"/>
      <c r="BN26" s="125"/>
      <c r="BO26" s="32"/>
      <c r="BP26" s="126">
        <f>ER17</f>
        <v>0.82540421365911454</v>
      </c>
      <c r="BQ26" s="126"/>
      <c r="BR26" s="126"/>
      <c r="BS26" s="126"/>
      <c r="BT26" s="126"/>
      <c r="BU26" s="126"/>
      <c r="BV26" s="126"/>
      <c r="BW26" s="61"/>
      <c r="BX26" s="136">
        <f>(GA32/(P27*1000))</f>
        <v>1.0445765172089598</v>
      </c>
      <c r="BY26" s="136"/>
      <c r="BZ26" s="136"/>
      <c r="CA26" s="136"/>
      <c r="CB26" s="136"/>
      <c r="CC26" s="136"/>
      <c r="CD26" s="136"/>
      <c r="CE26" s="136"/>
      <c r="CF26" s="34"/>
      <c r="CI26" s="120" t="str">
        <f>COMPLEX(CJ24,CJ25)</f>
        <v>0.307044597667228+2.1493121836706i</v>
      </c>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67"/>
      <c r="DM26" s="67" t="s">
        <v>56</v>
      </c>
      <c r="DN26" s="67"/>
      <c r="DO26" s="67"/>
      <c r="DP26" s="66"/>
      <c r="DQ26" s="66"/>
      <c r="DR26" s="66"/>
      <c r="DS26" s="66"/>
      <c r="DT26" s="66"/>
      <c r="FH26" s="68" t="s">
        <v>173</v>
      </c>
      <c r="FI26" s="68"/>
      <c r="FJ26" s="68"/>
      <c r="FK26" s="100" t="str">
        <f>FK40</f>
        <v>116.943849455796-871.942772534103i</v>
      </c>
      <c r="FL26" s="100"/>
      <c r="FM26" s="100"/>
      <c r="FN26" s="100"/>
      <c r="FO26" s="100"/>
      <c r="FQ26" s="1" t="s">
        <v>10</v>
      </c>
      <c r="GI26" s="68"/>
      <c r="GJ26" s="68"/>
      <c r="GK26" s="68"/>
      <c r="GL26" s="68"/>
      <c r="GM26" s="68"/>
    </row>
    <row r="27" spans="2:195" ht="18" customHeight="1" x14ac:dyDescent="0.35">
      <c r="B27" s="7"/>
      <c r="C27" s="23"/>
      <c r="O27" s="19" t="s">
        <v>61</v>
      </c>
      <c r="P27" s="117">
        <v>12.47</v>
      </c>
      <c r="Q27" s="117"/>
      <c r="R27" s="117"/>
      <c r="S27" s="23" t="s">
        <v>48</v>
      </c>
      <c r="U27" s="23"/>
      <c r="V27" s="23"/>
      <c r="AP27" s="9"/>
      <c r="AR27" s="7"/>
      <c r="BB27" s="19"/>
      <c r="BC27" s="19"/>
      <c r="BD27" s="19"/>
      <c r="BE27" s="19"/>
      <c r="BF27" s="19" t="s">
        <v>52</v>
      </c>
      <c r="BH27" s="137">
        <f>DJ15</f>
        <v>0.35147907503300513</v>
      </c>
      <c r="BI27" s="137"/>
      <c r="BJ27" s="137"/>
      <c r="BK27" s="137"/>
      <c r="BL27" s="137"/>
      <c r="BM27" s="137"/>
      <c r="BN27" s="137"/>
      <c r="BO27" s="32"/>
      <c r="BP27" s="126">
        <f>ER18</f>
        <v>0.17459578634088546</v>
      </c>
      <c r="BQ27" s="126"/>
      <c r="BR27" s="126"/>
      <c r="BS27" s="126"/>
      <c r="BT27" s="126"/>
      <c r="BU27" s="126"/>
      <c r="BV27" s="126"/>
      <c r="BW27" s="61"/>
      <c r="BX27" s="136">
        <f>(1-BX26)</f>
        <v>-4.4576517208959832E-2</v>
      </c>
      <c r="BY27" s="136"/>
      <c r="BZ27" s="136"/>
      <c r="CA27" s="136"/>
      <c r="CB27" s="136"/>
      <c r="CC27" s="136"/>
      <c r="CD27" s="136"/>
      <c r="CE27" s="136"/>
      <c r="CF27" s="9"/>
      <c r="CI27" s="65" t="s">
        <v>62</v>
      </c>
      <c r="CJ27" s="66"/>
      <c r="CK27" s="66"/>
      <c r="CL27" s="66"/>
      <c r="CM27" s="66"/>
      <c r="CN27" s="66"/>
      <c r="CO27" s="66"/>
      <c r="CP27" s="66"/>
      <c r="CQ27" s="66"/>
      <c r="CR27" s="66"/>
      <c r="CS27" s="66"/>
      <c r="CT27" s="66"/>
      <c r="CU27" s="66"/>
      <c r="CV27" s="66"/>
      <c r="CW27" s="66"/>
      <c r="CX27" s="66"/>
      <c r="CY27" s="66"/>
      <c r="CZ27" s="66"/>
      <c r="DA27" s="66"/>
      <c r="DB27" s="66"/>
      <c r="DC27" s="66"/>
      <c r="DD27" s="66"/>
      <c r="DE27" s="66"/>
      <c r="DF27" s="66"/>
      <c r="DG27" s="66"/>
      <c r="DH27" s="66"/>
      <c r="DI27" s="66"/>
      <c r="DJ27" s="66"/>
      <c r="DK27" s="66"/>
      <c r="DL27" s="66"/>
      <c r="DM27" s="66"/>
      <c r="DN27" s="66"/>
      <c r="DO27" s="66"/>
      <c r="DP27" s="66"/>
      <c r="DQ27" s="66"/>
      <c r="DR27" s="66"/>
      <c r="DS27" s="66"/>
      <c r="DT27" s="66"/>
      <c r="FH27" s="68" t="s">
        <v>172</v>
      </c>
      <c r="FI27" s="68"/>
      <c r="FJ27" s="68"/>
      <c r="FK27" s="100" t="str">
        <f>CI34</f>
        <v>0.906721069930863+4.44200792072207i</v>
      </c>
      <c r="FL27" s="100"/>
      <c r="FM27" s="100"/>
      <c r="FN27" s="100"/>
      <c r="FO27" s="100"/>
      <c r="FP27" s="100"/>
      <c r="FQ27" s="100"/>
      <c r="FR27" s="100"/>
      <c r="FS27" s="100"/>
      <c r="FT27" s="100"/>
      <c r="FU27" s="100"/>
      <c r="FV27" s="100"/>
      <c r="FW27" s="100"/>
      <c r="FX27" s="100"/>
      <c r="FY27" s="100"/>
      <c r="FZ27" s="100"/>
      <c r="GI27" s="68"/>
      <c r="GJ27" s="68"/>
      <c r="GK27" s="68"/>
      <c r="GL27" s="68"/>
      <c r="GM27" s="68"/>
    </row>
    <row r="28" spans="2:195" ht="18" customHeight="1" x14ac:dyDescent="0.35">
      <c r="B28" s="7"/>
      <c r="C28" s="23"/>
      <c r="D28" s="23"/>
      <c r="E28" s="23"/>
      <c r="F28" s="23"/>
      <c r="G28" s="23"/>
      <c r="H28" s="23"/>
      <c r="I28" s="23"/>
      <c r="J28" s="23"/>
      <c r="K28" s="23"/>
      <c r="L28" s="30"/>
      <c r="M28" s="23"/>
      <c r="N28" s="23"/>
      <c r="O28" s="10" t="s">
        <v>63</v>
      </c>
      <c r="P28" s="117">
        <v>7.5</v>
      </c>
      <c r="Q28" s="117"/>
      <c r="R28" s="117"/>
      <c r="S28" s="23" t="s">
        <v>64</v>
      </c>
      <c r="T28" s="23"/>
      <c r="U28" s="23"/>
      <c r="V28" s="23"/>
      <c r="W28" s="23"/>
      <c r="AA28" s="19" t="str">
        <f>P22&amp;"kV Bus"</f>
        <v>34.5kV Bus</v>
      </c>
      <c r="AI28" s="1" t="str">
        <f>"Isc: "&amp;P23&amp;"kA"&amp;" X/R="&amp;P24</f>
        <v>Isc: 1.2kA X/R=7</v>
      </c>
      <c r="AP28" s="9"/>
      <c r="AR28" s="7"/>
      <c r="BH28" s="32"/>
      <c r="BI28" s="32"/>
      <c r="BJ28" s="32"/>
      <c r="BK28" s="32"/>
      <c r="BL28" s="32"/>
      <c r="BM28" s="32"/>
      <c r="BN28" s="32"/>
      <c r="BO28" s="32"/>
      <c r="BP28" s="20"/>
      <c r="BQ28" s="76"/>
      <c r="BR28" s="31"/>
      <c r="BS28" s="31"/>
      <c r="BT28" s="20"/>
      <c r="BU28" s="20"/>
      <c r="BV28" s="20"/>
      <c r="BW28" s="29"/>
      <c r="BX28" s="75"/>
      <c r="BY28" s="75"/>
      <c r="BZ28" s="75"/>
      <c r="CA28" s="75"/>
      <c r="CB28" s="75"/>
      <c r="CC28" s="75"/>
      <c r="CD28" s="75"/>
      <c r="CE28" s="75"/>
      <c r="CF28" s="9"/>
      <c r="CI28" s="66" t="s">
        <v>55</v>
      </c>
      <c r="CJ28" s="135">
        <f>COS(ATAN(P29))*((P27^2)/P26)*(P28/100)</f>
        <v>1.0170567005981216E-2</v>
      </c>
      <c r="CK28" s="135"/>
      <c r="CL28" s="135"/>
      <c r="CM28" s="135"/>
      <c r="CN28" s="135"/>
      <c r="CO28" s="135"/>
      <c r="CP28" s="135"/>
      <c r="CQ28" s="135"/>
      <c r="CR28" s="135"/>
      <c r="CS28" s="135"/>
      <c r="CT28" s="135"/>
      <c r="CU28" s="135"/>
      <c r="CV28" s="135"/>
      <c r="CW28" s="135"/>
      <c r="CX28" s="135"/>
      <c r="CY28" s="135"/>
      <c r="CZ28" s="135"/>
      <c r="DA28" s="135"/>
      <c r="DB28" s="135"/>
      <c r="DC28" s="135"/>
      <c r="DD28" s="66"/>
      <c r="DE28" s="66" t="s">
        <v>56</v>
      </c>
      <c r="DF28" s="66"/>
      <c r="DG28" s="66"/>
      <c r="DH28" s="66"/>
      <c r="DI28" s="66"/>
      <c r="DJ28" s="119">
        <f>IMABS(CI30)</f>
        <v>0.29156418750000029</v>
      </c>
      <c r="DK28" s="119"/>
      <c r="DL28" s="119"/>
      <c r="DM28" s="119"/>
      <c r="DN28" s="66" t="s">
        <v>9</v>
      </c>
      <c r="DO28" s="119">
        <f>DEGREES(IMARGUMENT(CI30))</f>
        <v>88.000958852439268</v>
      </c>
      <c r="DP28" s="119"/>
      <c r="DQ28" s="119"/>
      <c r="DR28" s="66" t="s">
        <v>56</v>
      </c>
      <c r="DS28" s="66"/>
      <c r="DT28" s="66"/>
      <c r="FH28" s="105" t="s">
        <v>171</v>
      </c>
      <c r="FI28" s="105"/>
      <c r="FJ28" s="105"/>
      <c r="FK28" s="100" t="str">
        <f>IMSUM(CI26,CI30)</f>
        <v>0.317215164673209+2.44069892839196i</v>
      </c>
      <c r="FL28" s="100"/>
      <c r="FM28" s="100"/>
      <c r="FN28" s="100"/>
      <c r="FO28" s="100"/>
      <c r="FP28" s="100"/>
      <c r="FQ28" s="100"/>
      <c r="FR28" s="100"/>
      <c r="FS28" s="100"/>
      <c r="FT28" s="100"/>
      <c r="FU28" s="100"/>
      <c r="FV28" s="100"/>
      <c r="FW28" s="100"/>
      <c r="FX28" s="100"/>
      <c r="FY28" s="100"/>
      <c r="FZ28" s="100"/>
      <c r="GI28" s="68"/>
      <c r="GJ28" s="68"/>
      <c r="GK28" s="68"/>
      <c r="GL28" s="68"/>
      <c r="GM28" s="68"/>
    </row>
    <row r="29" spans="2:195" ht="18" customHeight="1" x14ac:dyDescent="0.35">
      <c r="B29" s="7"/>
      <c r="J29" s="23"/>
      <c r="K29" s="23"/>
      <c r="L29" s="30"/>
      <c r="M29" s="23"/>
      <c r="N29" s="23"/>
      <c r="O29" s="10" t="s">
        <v>54</v>
      </c>
      <c r="P29" s="117">
        <v>28.65</v>
      </c>
      <c r="Q29" s="117"/>
      <c r="R29" s="117"/>
      <c r="S29" s="23"/>
      <c r="T29" s="23"/>
      <c r="U29" s="23"/>
      <c r="V29" s="23"/>
      <c r="AP29" s="9"/>
      <c r="AR29" s="7"/>
      <c r="BF29" s="19" t="str">
        <f>"Source Starting Current ("&amp;P22&amp;" kV System):"</f>
        <v>Source Starting Current (34.5 kV System):</v>
      </c>
      <c r="BH29" s="131" t="str">
        <f>ROUND(DJ8/DJ16,0)&amp;" amps"</f>
        <v>373 amps</v>
      </c>
      <c r="BI29" s="131"/>
      <c r="BJ29" s="131"/>
      <c r="BK29" s="131"/>
      <c r="BL29" s="131"/>
      <c r="BM29" s="131"/>
      <c r="BN29" s="131"/>
      <c r="BO29" s="32"/>
      <c r="BP29" s="134" t="str">
        <f>ROUND(ER8/DJ16,0)&amp;" amps"</f>
        <v>196 amps</v>
      </c>
      <c r="BQ29" s="134"/>
      <c r="BR29" s="134"/>
      <c r="BS29" s="134"/>
      <c r="BT29" s="134"/>
      <c r="BU29" s="134"/>
      <c r="BV29" s="134"/>
      <c r="BW29" s="29"/>
      <c r="BX29" s="133" t="str">
        <f>ROUND(FM8/DJ16,0)&amp;" amps"</f>
        <v>87 amps</v>
      </c>
      <c r="BY29" s="133"/>
      <c r="BZ29" s="133"/>
      <c r="CA29" s="133"/>
      <c r="CB29" s="133"/>
      <c r="CC29" s="133"/>
      <c r="CD29" s="133"/>
      <c r="CE29" s="133"/>
      <c r="CF29" s="9"/>
      <c r="CI29" s="66" t="s">
        <v>58</v>
      </c>
      <c r="CJ29" s="119">
        <f>SIN(ATAN(P29))*((P27^2)/P26)*(P28/100)</f>
        <v>0.29138674472136172</v>
      </c>
      <c r="CK29" s="119"/>
      <c r="CL29" s="119"/>
      <c r="CM29" s="119"/>
      <c r="CN29" s="119"/>
      <c r="CO29" s="119"/>
      <c r="CP29" s="119"/>
      <c r="CQ29" s="119"/>
      <c r="CR29" s="119"/>
      <c r="CS29" s="119"/>
      <c r="CT29" s="119"/>
      <c r="CU29" s="119"/>
      <c r="CV29" s="119"/>
      <c r="CW29" s="119"/>
      <c r="CX29" s="119"/>
      <c r="CY29" s="119"/>
      <c r="CZ29" s="119"/>
      <c r="DA29" s="119"/>
      <c r="DB29" s="119"/>
      <c r="DC29" s="119"/>
      <c r="DD29" s="66"/>
      <c r="DE29" s="66" t="s">
        <v>56</v>
      </c>
      <c r="DF29" s="66"/>
      <c r="DG29" s="66"/>
      <c r="DH29" s="66"/>
      <c r="DI29" s="66"/>
      <c r="DJ29" s="66"/>
      <c r="DK29" s="66"/>
      <c r="DL29" s="66"/>
      <c r="DM29" s="66"/>
      <c r="DN29" s="66"/>
      <c r="DO29" s="66"/>
      <c r="DP29" s="66"/>
      <c r="DQ29" s="66"/>
      <c r="DR29" s="66"/>
      <c r="DS29" s="66"/>
      <c r="DT29" s="66"/>
      <c r="FH29" s="105" t="s">
        <v>170</v>
      </c>
      <c r="FI29" s="105"/>
      <c r="FJ29" s="105"/>
      <c r="FK29" s="100" t="str">
        <f>CI38</f>
        <v>-7.33494811320755i</v>
      </c>
      <c r="FL29" s="100"/>
      <c r="FM29" s="100"/>
      <c r="FN29" s="100"/>
      <c r="FO29" s="100"/>
      <c r="FP29" s="100"/>
      <c r="FQ29" s="100"/>
      <c r="FR29" s="100"/>
      <c r="FS29" s="100"/>
      <c r="FT29" s="100"/>
      <c r="FU29" s="100"/>
      <c r="FV29" s="100"/>
      <c r="FW29" s="100"/>
      <c r="FX29" s="100"/>
      <c r="FY29" s="100"/>
      <c r="FZ29" s="100"/>
      <c r="GA29" s="68"/>
      <c r="GB29" s="68"/>
      <c r="GC29" s="68"/>
      <c r="GD29" s="68"/>
      <c r="GE29" s="68"/>
      <c r="GF29" s="68"/>
      <c r="GG29" s="68"/>
      <c r="GH29" s="68"/>
      <c r="GI29" s="68"/>
      <c r="GJ29" s="68"/>
      <c r="GK29" s="68"/>
      <c r="GL29" s="68"/>
      <c r="GM29" s="68"/>
    </row>
    <row r="30" spans="2:195" ht="18" customHeight="1" x14ac:dyDescent="0.35">
      <c r="B30" s="7"/>
      <c r="C30" s="106" t="s">
        <v>65</v>
      </c>
      <c r="D30" s="106"/>
      <c r="E30" s="106"/>
      <c r="F30" s="106"/>
      <c r="G30" s="106"/>
      <c r="H30" s="106"/>
      <c r="I30" s="106"/>
      <c r="J30" s="106"/>
      <c r="K30" s="106"/>
      <c r="L30" s="106"/>
      <c r="M30" s="106"/>
      <c r="N30" s="106"/>
      <c r="O30" s="106"/>
      <c r="P30" s="106"/>
      <c r="Q30" s="106"/>
      <c r="R30" s="106"/>
      <c r="S30" s="106"/>
      <c r="T30" s="106"/>
      <c r="U30" s="23"/>
      <c r="V30" s="23"/>
      <c r="W30" s="23"/>
      <c r="AF30" s="1" t="str">
        <f>P26&amp;" MVA"</f>
        <v>40 MVA</v>
      </c>
      <c r="AP30" s="9"/>
      <c r="AR30" s="7"/>
      <c r="BF30" s="19" t="str">
        <f>"Source Starting Current ("&amp;P27&amp;" kV System):"</f>
        <v>Source Starting Current (12.47 kV System):</v>
      </c>
      <c r="BH30" s="131" t="str">
        <f>ROUND(DJ8,0)&amp;" amps"</f>
        <v>1031 amps</v>
      </c>
      <c r="BI30" s="131"/>
      <c r="BJ30" s="131"/>
      <c r="BK30" s="131"/>
      <c r="BL30" s="131"/>
      <c r="BM30" s="131"/>
      <c r="BN30" s="131"/>
      <c r="BO30" s="32"/>
      <c r="BP30" s="132" t="str">
        <f>ROUND(ER8,0)&amp;" amps"</f>
        <v>542 amps</v>
      </c>
      <c r="BQ30" s="132"/>
      <c r="BR30" s="132"/>
      <c r="BS30" s="132"/>
      <c r="BT30" s="132"/>
      <c r="BU30" s="132"/>
      <c r="BV30" s="132"/>
      <c r="BW30" s="61"/>
      <c r="BX30" s="133" t="str">
        <f>ROUND(FM8,0)&amp;" amps"</f>
        <v>241 amps</v>
      </c>
      <c r="BY30" s="133"/>
      <c r="BZ30" s="133"/>
      <c r="CA30" s="133"/>
      <c r="CB30" s="133"/>
      <c r="CC30" s="133"/>
      <c r="CD30" s="133"/>
      <c r="CE30" s="133"/>
      <c r="CF30" s="9"/>
      <c r="CI30" s="120" t="str">
        <f>COMPLEX(CJ28,CJ29)</f>
        <v>0.0101705670059812+0.291386744721362i</v>
      </c>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67"/>
      <c r="DM30" s="67" t="s">
        <v>56</v>
      </c>
      <c r="DN30" s="67"/>
      <c r="DO30" s="66"/>
      <c r="DP30" s="66"/>
      <c r="DQ30" s="66"/>
      <c r="DR30" s="66"/>
      <c r="DS30" s="66"/>
      <c r="DT30" s="66"/>
      <c r="FH30" s="105" t="s">
        <v>169</v>
      </c>
      <c r="FI30" s="105"/>
      <c r="FJ30" s="105"/>
      <c r="FK30" s="100" t="str">
        <f>IMDIV(P27*1000,"1.732+0i")</f>
        <v>7199.76905311778</v>
      </c>
      <c r="FL30" s="100"/>
      <c r="FM30" s="100"/>
      <c r="FN30" s="100"/>
      <c r="FO30" s="100"/>
      <c r="FP30" s="100"/>
      <c r="FQ30" s="100"/>
      <c r="FR30" s="100"/>
      <c r="FS30" s="100"/>
      <c r="FT30" s="100"/>
      <c r="FU30" s="100"/>
      <c r="FV30" s="100"/>
      <c r="FW30" s="100"/>
      <c r="FX30" s="100"/>
      <c r="FY30" s="100"/>
      <c r="FZ30" s="100"/>
      <c r="GA30" s="68"/>
      <c r="GB30" s="68"/>
      <c r="GC30" s="68"/>
      <c r="GD30" s="68"/>
      <c r="GE30" s="68"/>
      <c r="GF30" s="68"/>
      <c r="GG30" s="68"/>
      <c r="GH30" s="68"/>
      <c r="GI30" s="68"/>
      <c r="GJ30" s="68"/>
      <c r="GK30" s="68"/>
      <c r="GL30" s="68"/>
      <c r="GM30" s="68"/>
    </row>
    <row r="31" spans="2:195" ht="18" customHeight="1" x14ac:dyDescent="0.35">
      <c r="B31" s="7"/>
      <c r="C31" s="23"/>
      <c r="K31" s="23"/>
      <c r="L31" s="30"/>
      <c r="M31" s="23"/>
      <c r="N31" s="10"/>
      <c r="O31" s="10" t="s">
        <v>66</v>
      </c>
      <c r="P31" s="117">
        <v>13.8</v>
      </c>
      <c r="Q31" s="117"/>
      <c r="R31" s="117"/>
      <c r="S31" s="23" t="s">
        <v>48</v>
      </c>
      <c r="T31" s="23"/>
      <c r="U31" s="23"/>
      <c r="V31" s="23"/>
      <c r="W31" s="23"/>
      <c r="AF31" s="74" t="str">
        <f>P28&amp;"%" &amp;" X/R="&amp;P29</f>
        <v>7.5% X/R=28.65</v>
      </c>
      <c r="AP31" s="9"/>
      <c r="AR31" s="7"/>
      <c r="BH31" s="32"/>
      <c r="BI31" s="32"/>
      <c r="BJ31" s="32"/>
      <c r="BK31" s="32"/>
      <c r="BL31" s="32"/>
      <c r="BM31" s="32"/>
      <c r="BN31" s="32"/>
      <c r="BO31" s="32"/>
      <c r="BP31" s="20"/>
      <c r="BQ31" s="76"/>
      <c r="BR31" s="31"/>
      <c r="BS31" s="31"/>
      <c r="BT31" s="20"/>
      <c r="BU31" s="20"/>
      <c r="BV31" s="20"/>
      <c r="BW31" s="29"/>
      <c r="BX31" s="75"/>
      <c r="BY31" s="75"/>
      <c r="BZ31" s="75"/>
      <c r="CA31" s="75"/>
      <c r="CB31" s="75"/>
      <c r="CC31" s="75"/>
      <c r="CD31" s="75"/>
      <c r="CE31" s="75"/>
      <c r="CF31" s="9"/>
      <c r="CI31" s="65" t="s">
        <v>67</v>
      </c>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FH31" s="105" t="s">
        <v>168</v>
      </c>
      <c r="FI31" s="105"/>
      <c r="FJ31" s="105"/>
      <c r="FK31" s="100">
        <f>IMABS(
  IMDIV(
    IMPRODUCT(FK26,FK27,IMSUM("1",IMDIV(FK28,FK29))),
    IMSUB(FK30,IMPRODUCT(FK26,FK28))
  )
)</f>
        <v>0.52971627845838443</v>
      </c>
      <c r="FL31" s="100"/>
      <c r="FM31" s="100"/>
      <c r="FN31" s="100"/>
      <c r="FO31" s="100"/>
      <c r="FP31" s="100"/>
      <c r="FQ31" s="100"/>
      <c r="FR31" s="100"/>
      <c r="FS31" s="100"/>
      <c r="FT31" s="100"/>
      <c r="FU31" s="100"/>
      <c r="FV31" s="100"/>
      <c r="FW31" s="100"/>
      <c r="FX31" s="100"/>
      <c r="FY31" s="100"/>
      <c r="FZ31" s="100"/>
      <c r="GA31" s="105" t="s">
        <v>177</v>
      </c>
      <c r="GB31" s="105"/>
      <c r="GC31" s="105"/>
      <c r="GD31" s="105"/>
      <c r="GE31" s="105"/>
      <c r="GF31" s="105"/>
      <c r="GG31" s="105"/>
      <c r="GH31" s="105"/>
      <c r="GI31" s="105"/>
      <c r="GJ31" s="105"/>
      <c r="GK31" s="105"/>
      <c r="GL31" s="68"/>
      <c r="GM31" s="68"/>
    </row>
    <row r="32" spans="2:195" ht="18" customHeight="1" x14ac:dyDescent="0.35">
      <c r="B32" s="7"/>
      <c r="C32" s="23"/>
      <c r="D32" s="23"/>
      <c r="K32" s="23"/>
      <c r="L32" s="30"/>
      <c r="M32" s="23"/>
      <c r="N32" s="10"/>
      <c r="O32" s="10" t="s">
        <v>68</v>
      </c>
      <c r="P32" s="128">
        <v>10000</v>
      </c>
      <c r="Q32" s="129"/>
      <c r="R32" s="130"/>
      <c r="S32" s="23" t="s">
        <v>69</v>
      </c>
      <c r="T32" s="23"/>
      <c r="U32" s="23"/>
      <c r="V32" s="23"/>
      <c r="W32" s="23"/>
      <c r="Y32" s="19" t="str">
        <f>P27&amp;"kV Bus"</f>
        <v>12.47kV Bus</v>
      </c>
      <c r="AP32" s="9"/>
      <c r="AR32" s="7"/>
      <c r="BF32" s="19" t="s">
        <v>182</v>
      </c>
      <c r="BH32" s="125">
        <f>DJ9</f>
        <v>2.9300927298327646</v>
      </c>
      <c r="BI32" s="125"/>
      <c r="BJ32" s="125"/>
      <c r="BK32" s="125"/>
      <c r="BL32" s="125"/>
      <c r="BM32" s="125"/>
      <c r="BN32" s="125"/>
      <c r="BO32" s="32"/>
      <c r="BP32" s="126">
        <f>ER9</f>
        <v>1.5413959136287245</v>
      </c>
      <c r="BQ32" s="126"/>
      <c r="BR32" s="126"/>
      <c r="BS32" s="126"/>
      <c r="BT32" s="126"/>
      <c r="BU32" s="126"/>
      <c r="BV32" s="126"/>
      <c r="BW32" s="29"/>
      <c r="BX32" s="127">
        <f>FM9</f>
        <v>0.68455194944803022</v>
      </c>
      <c r="BY32" s="127"/>
      <c r="BZ32" s="127"/>
      <c r="CA32" s="127"/>
      <c r="CB32" s="127"/>
      <c r="CC32" s="127"/>
      <c r="CD32" s="127"/>
      <c r="CE32" s="127"/>
      <c r="CF32" s="9"/>
      <c r="CI32" s="66" t="s">
        <v>55</v>
      </c>
      <c r="CJ32" s="119">
        <f>COS(ACOS(P37/100))*(((1000*P31/1.73))/P33)/(P36/100)</f>
        <v>0.90672106993086332</v>
      </c>
      <c r="CK32" s="119"/>
      <c r="CL32" s="119"/>
      <c r="CM32" s="119"/>
      <c r="CN32" s="119"/>
      <c r="CO32" s="119"/>
      <c r="CP32" s="119"/>
      <c r="CQ32" s="119"/>
      <c r="CR32" s="119"/>
      <c r="CS32" s="119"/>
      <c r="CT32" s="119"/>
      <c r="CU32" s="119"/>
      <c r="CV32" s="119"/>
      <c r="CW32" s="119"/>
      <c r="CX32" s="119"/>
      <c r="CY32" s="119"/>
      <c r="CZ32" s="119"/>
      <c r="DA32" s="119"/>
      <c r="DB32" s="119"/>
      <c r="DC32" s="119"/>
      <c r="DD32" s="66"/>
      <c r="DE32" s="66" t="s">
        <v>56</v>
      </c>
      <c r="DF32" s="66"/>
      <c r="DG32" s="66"/>
      <c r="DH32" s="66"/>
      <c r="DI32" s="66"/>
      <c r="DJ32" s="119">
        <f>IMABS(CI34)</f>
        <v>4.5336053496543105</v>
      </c>
      <c r="DK32" s="119"/>
      <c r="DL32" s="119"/>
      <c r="DM32" s="119"/>
      <c r="DN32" s="66" t="s">
        <v>9</v>
      </c>
      <c r="DO32" s="119">
        <f>DEGREES(IMARGUMENT(CI34))</f>
        <v>78.463040967184511</v>
      </c>
      <c r="DP32" s="119"/>
      <c r="DQ32" s="119"/>
      <c r="DR32" s="66" t="s">
        <v>56</v>
      </c>
      <c r="DS32" s="66"/>
      <c r="DT32" s="66"/>
      <c r="EI32" s="93" t="s">
        <v>223</v>
      </c>
      <c r="EJ32" s="93"/>
      <c r="EK32" s="93"/>
      <c r="EL32" s="93"/>
      <c r="EM32" s="93"/>
      <c r="EN32" s="93"/>
      <c r="EO32" s="93"/>
      <c r="EP32" s="93"/>
      <c r="EQ32" s="93"/>
      <c r="ER32" s="93"/>
      <c r="ES32" s="93"/>
      <c r="ET32" s="93"/>
      <c r="FD32" s="105" t="s">
        <v>175</v>
      </c>
      <c r="FE32" s="105"/>
      <c r="FF32" s="105"/>
      <c r="FG32" s="105"/>
      <c r="FH32" s="105"/>
      <c r="FI32" s="105"/>
      <c r="FJ32" s="105"/>
      <c r="FK32" s="100" t="str">
        <f>IMDIV(
  FK30,
  IMSUM(
    "1",
    IMPRODUCT(
      FK28,
      IMSUM(
        IMDIV(COMPLEX(FK31,0), FK27),
        IMDIV("1", FK29)
      )
    )
  )
)</f>
        <v>7512.53802111882-503.685664943392i</v>
      </c>
      <c r="FL32" s="100"/>
      <c r="FM32" s="100"/>
      <c r="FN32" s="100"/>
      <c r="FO32" s="100"/>
      <c r="FP32" s="100"/>
      <c r="FQ32" s="100"/>
      <c r="FR32" s="100"/>
      <c r="FS32" s="100"/>
      <c r="FT32" s="100"/>
      <c r="FU32" s="100"/>
      <c r="FV32" s="100"/>
      <c r="FW32" s="100"/>
      <c r="FX32" s="100"/>
      <c r="FY32" s="100"/>
      <c r="FZ32" s="100"/>
      <c r="GA32" s="112">
        <f>1.73*IMABS(FK32)</f>
        <v>13025.869169595728</v>
      </c>
      <c r="GB32" s="112"/>
      <c r="GC32" s="112"/>
      <c r="GD32" s="112"/>
      <c r="GE32" s="3" t="s">
        <v>9</v>
      </c>
      <c r="GF32" s="93">
        <f t="shared" ref="GF32:GF38" si="0">DEGREES(IMARGUMENT(FK32))</f>
        <v>-3.8357126281217395</v>
      </c>
      <c r="GG32" s="93"/>
      <c r="GH32" s="93"/>
      <c r="GI32" s="1" t="s">
        <v>30</v>
      </c>
      <c r="GK32" s="68"/>
      <c r="GL32" s="68"/>
      <c r="GM32" s="68"/>
    </row>
    <row r="33" spans="2:195" ht="18" customHeight="1" x14ac:dyDescent="0.35">
      <c r="B33" s="7"/>
      <c r="C33" s="23"/>
      <c r="D33" s="23"/>
      <c r="E33" s="23"/>
      <c r="F33" s="23"/>
      <c r="G33" s="23"/>
      <c r="H33" s="23"/>
      <c r="I33" s="23"/>
      <c r="J33" s="23"/>
      <c r="K33" s="23"/>
      <c r="L33" s="30"/>
      <c r="M33" s="23"/>
      <c r="N33" s="23"/>
      <c r="O33" s="10" t="s">
        <v>70</v>
      </c>
      <c r="P33" s="117">
        <v>351.9</v>
      </c>
      <c r="Q33" s="117"/>
      <c r="R33" s="117"/>
      <c r="S33" s="23" t="s">
        <v>10</v>
      </c>
      <c r="T33" s="23"/>
      <c r="V33" s="23"/>
      <c r="AP33" s="9"/>
      <c r="AR33" s="7"/>
      <c r="AS33" s="121" t="str">
        <f>"Voltage change per stage at the "&amp;P27&amp;" kV Bus:"</f>
        <v>Voltage change per stage at the 12.47 kV Bus:</v>
      </c>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c r="BS33" s="122" t="str">
        <f>"±"&amp;ROUND((100*P44/P45)/DN50/2,2)&amp;"%"</f>
        <v>±5.59%</v>
      </c>
      <c r="BT33" s="122"/>
      <c r="BU33" s="122"/>
      <c r="BV33" s="122"/>
      <c r="BW33" s="122"/>
      <c r="BX33" s="122"/>
      <c r="BY33" s="122"/>
      <c r="BZ33" s="122"/>
      <c r="CA33" s="122"/>
      <c r="CF33" s="9"/>
      <c r="CI33" s="66" t="s">
        <v>58</v>
      </c>
      <c r="CJ33" s="119">
        <f>SIN(ACOS(P37/100))*(((1000*P31/1.73))/P33)/(P36/100)</f>
        <v>4.4420079207220731</v>
      </c>
      <c r="CK33" s="119"/>
      <c r="CL33" s="119"/>
      <c r="CM33" s="119"/>
      <c r="CN33" s="119"/>
      <c r="CO33" s="119"/>
      <c r="CP33" s="119"/>
      <c r="CQ33" s="119"/>
      <c r="CR33" s="119"/>
      <c r="CS33" s="119"/>
      <c r="CT33" s="119"/>
      <c r="CU33" s="119"/>
      <c r="CV33" s="119"/>
      <c r="CW33" s="119"/>
      <c r="CX33" s="119"/>
      <c r="CY33" s="119"/>
      <c r="CZ33" s="119"/>
      <c r="DA33" s="119"/>
      <c r="DB33" s="119"/>
      <c r="DC33" s="119"/>
      <c r="DD33" s="66"/>
      <c r="DE33" s="66" t="s">
        <v>56</v>
      </c>
      <c r="DF33" s="66"/>
      <c r="DG33" s="66"/>
      <c r="DH33" s="66"/>
      <c r="DI33" s="66"/>
      <c r="DJ33" s="66"/>
      <c r="DK33" s="66"/>
      <c r="DL33" s="66"/>
      <c r="DM33" s="66"/>
      <c r="DN33" s="66"/>
      <c r="DO33" s="66"/>
      <c r="DP33" s="66"/>
      <c r="DQ33" s="66"/>
      <c r="DR33" s="66"/>
      <c r="DS33" s="66"/>
      <c r="DT33" s="66"/>
      <c r="DX33" s="35"/>
      <c r="DY33" s="36"/>
      <c r="DZ33" s="36"/>
      <c r="EA33" s="37"/>
      <c r="EK33" s="93">
        <v>0</v>
      </c>
      <c r="EL33" s="93"/>
      <c r="EM33" s="93"/>
      <c r="EN33" s="93"/>
      <c r="EP33" s="3" t="s">
        <v>10</v>
      </c>
      <c r="FH33" s="105" t="s">
        <v>164</v>
      </c>
      <c r="FI33" s="105"/>
      <c r="FJ33" s="105"/>
      <c r="FK33" s="100" t="str">
        <f>IMDIV(
  IMPRODUCT(COMPLEX(FK31,0), FK32),
  FK27
)</f>
        <v>117.893567262158-871.816793214711i</v>
      </c>
      <c r="FL33" s="100"/>
      <c r="FM33" s="100"/>
      <c r="FN33" s="100"/>
      <c r="FO33" s="100"/>
      <c r="FP33" s="100"/>
      <c r="FQ33" s="100"/>
      <c r="FR33" s="100"/>
      <c r="FS33" s="100"/>
      <c r="FT33" s="100"/>
      <c r="FU33" s="100"/>
      <c r="FV33" s="100"/>
      <c r="FW33" s="100"/>
      <c r="FX33" s="100"/>
      <c r="FY33" s="100"/>
      <c r="FZ33" s="100"/>
      <c r="GA33" s="112">
        <f>IMABS(FK33)</f>
        <v>879.75190487601617</v>
      </c>
      <c r="GB33" s="112"/>
      <c r="GC33" s="112"/>
      <c r="GD33" s="112"/>
      <c r="GE33" s="3" t="s">
        <v>9</v>
      </c>
      <c r="GF33" s="93">
        <f t="shared" si="0"/>
        <v>-82.298753595306252</v>
      </c>
      <c r="GG33" s="93"/>
      <c r="GH33" s="93"/>
      <c r="GI33" s="100" t="s">
        <v>10</v>
      </c>
      <c r="GJ33" s="100"/>
      <c r="GK33" s="68"/>
      <c r="GL33" s="68"/>
      <c r="GM33" s="68"/>
    </row>
    <row r="34" spans="2:195" ht="18" customHeight="1" x14ac:dyDescent="0.35">
      <c r="B34" s="7"/>
      <c r="E34" s="23"/>
      <c r="F34" s="23"/>
      <c r="G34" s="23"/>
      <c r="H34" s="23"/>
      <c r="I34" s="23"/>
      <c r="J34" s="23"/>
      <c r="K34" s="23"/>
      <c r="L34" s="30"/>
      <c r="M34" s="23"/>
      <c r="N34" s="23"/>
      <c r="O34" s="10" t="s">
        <v>71</v>
      </c>
      <c r="P34" s="117">
        <v>90</v>
      </c>
      <c r="Q34" s="117"/>
      <c r="R34" s="117"/>
      <c r="S34" s="23" t="s">
        <v>64</v>
      </c>
      <c r="T34" s="23"/>
      <c r="U34" s="23"/>
      <c r="V34" s="23"/>
      <c r="AP34" s="9"/>
      <c r="AR34" s="7"/>
      <c r="CF34" s="9"/>
      <c r="CI34" s="120" t="str">
        <f>COMPLEX(CJ32,CJ33)</f>
        <v>0.906721069930863+4.44200792072207i</v>
      </c>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67"/>
      <c r="DM34" s="67" t="s">
        <v>56</v>
      </c>
      <c r="DN34" s="67"/>
      <c r="DO34" s="66"/>
      <c r="DP34" s="66"/>
      <c r="DQ34" s="66"/>
      <c r="DR34" s="66"/>
      <c r="DS34" s="66"/>
      <c r="DT34" s="66"/>
      <c r="DX34" s="35"/>
      <c r="DY34" s="36"/>
      <c r="DZ34" s="36"/>
      <c r="EA34" s="37"/>
      <c r="EK34" s="94">
        <f>-(ER15/1.73)/CJ37</f>
        <v>811.12910659910835</v>
      </c>
      <c r="EL34" s="94"/>
      <c r="EM34" s="94"/>
      <c r="EN34" s="94"/>
      <c r="EP34" s="3" t="s">
        <v>10</v>
      </c>
      <c r="FH34" s="105" t="s">
        <v>165</v>
      </c>
      <c r="FI34" s="105"/>
      <c r="FJ34" s="105"/>
      <c r="FK34" s="100" t="str">
        <f>IMPRODUCT(FK31,FK32)</f>
        <v>3979.51368232418-266.81049594665i</v>
      </c>
      <c r="FL34" s="100"/>
      <c r="FM34" s="100"/>
      <c r="FN34" s="100"/>
      <c r="FO34" s="100"/>
      <c r="FP34" s="100"/>
      <c r="FQ34" s="100"/>
      <c r="FR34" s="100"/>
      <c r="FS34" s="100"/>
      <c r="FT34" s="100"/>
      <c r="FU34" s="100"/>
      <c r="FV34" s="100"/>
      <c r="FW34" s="100"/>
      <c r="FX34" s="100"/>
      <c r="FY34" s="100"/>
      <c r="FZ34" s="100"/>
      <c r="GA34" s="112">
        <f>1.73*IMABS(FK34)</f>
        <v>6900.0149402040597</v>
      </c>
      <c r="GB34" s="112"/>
      <c r="GC34" s="112"/>
      <c r="GD34" s="112"/>
      <c r="GE34" s="68" t="s">
        <v>9</v>
      </c>
      <c r="GF34" s="93">
        <f t="shared" si="0"/>
        <v>-3.8357126281217315</v>
      </c>
      <c r="GG34" s="93"/>
      <c r="GH34" s="93"/>
      <c r="GI34" s="1" t="s">
        <v>30</v>
      </c>
      <c r="GJ34" s="68"/>
      <c r="GK34" s="68"/>
      <c r="GL34" s="68"/>
      <c r="GM34" s="68"/>
    </row>
    <row r="35" spans="2:195" ht="18" customHeight="1" x14ac:dyDescent="0.45">
      <c r="B35" s="7"/>
      <c r="O35" s="19" t="s">
        <v>72</v>
      </c>
      <c r="P35" s="117">
        <v>97.4</v>
      </c>
      <c r="Q35" s="117"/>
      <c r="R35" s="117"/>
      <c r="S35" s="1" t="s">
        <v>64</v>
      </c>
      <c r="U35" s="23"/>
      <c r="V35" s="23"/>
      <c r="W35" s="23"/>
      <c r="AN35" s="1" t="s">
        <v>232</v>
      </c>
      <c r="AP35" s="9"/>
      <c r="AR35" s="7"/>
      <c r="AS35" s="72" t="s">
        <v>159</v>
      </c>
      <c r="CF35" s="9"/>
      <c r="CI35" s="65" t="s">
        <v>73</v>
      </c>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X35" s="35"/>
      <c r="DY35" s="36"/>
      <c r="DZ35" s="36"/>
      <c r="EA35" s="37"/>
      <c r="EK35" s="94">
        <f>-(GA32/1.73)/CJ37</f>
        <v>1026.5108938831204</v>
      </c>
      <c r="EL35" s="94"/>
      <c r="EM35" s="94"/>
      <c r="EN35" s="94"/>
      <c r="EP35" s="3" t="s">
        <v>10</v>
      </c>
      <c r="FH35" s="105" t="s">
        <v>166</v>
      </c>
      <c r="FI35" s="105"/>
      <c r="FJ35" s="105"/>
      <c r="FK35" s="100" t="str">
        <f>IMDIV(FK32,FK29)</f>
        <v>68.6692880671424+1024.21147432406i</v>
      </c>
      <c r="FL35" s="100"/>
      <c r="FM35" s="100"/>
      <c r="FN35" s="100"/>
      <c r="FO35" s="100"/>
      <c r="FP35" s="100"/>
      <c r="FQ35" s="100"/>
      <c r="FR35" s="100"/>
      <c r="FS35" s="100"/>
      <c r="FT35" s="100"/>
      <c r="FU35" s="100"/>
      <c r="FV35" s="100"/>
      <c r="FW35" s="100"/>
      <c r="FX35" s="100"/>
      <c r="FY35" s="100"/>
      <c r="FZ35" s="100"/>
      <c r="GA35" s="112">
        <f>IMABS(FK35)</f>
        <v>1026.5108938831154</v>
      </c>
      <c r="GB35" s="112"/>
      <c r="GC35" s="112"/>
      <c r="GD35" s="112"/>
      <c r="GE35" s="68" t="s">
        <v>9</v>
      </c>
      <c r="GF35" s="93">
        <f t="shared" si="0"/>
        <v>86.16428737187826</v>
      </c>
      <c r="GG35" s="93"/>
      <c r="GH35" s="93"/>
      <c r="GI35" s="1" t="s">
        <v>10</v>
      </c>
      <c r="GJ35" s="68"/>
      <c r="GK35" s="68"/>
      <c r="GL35" s="68"/>
      <c r="GM35" s="68"/>
    </row>
    <row r="36" spans="2:195" ht="18" customHeight="1" x14ac:dyDescent="0.35">
      <c r="B36" s="7"/>
      <c r="O36" s="10" t="s">
        <v>74</v>
      </c>
      <c r="P36" s="117">
        <v>500</v>
      </c>
      <c r="Q36" s="117"/>
      <c r="R36" s="117"/>
      <c r="S36" s="1" t="s">
        <v>64</v>
      </c>
      <c r="U36" s="23"/>
      <c r="V36" s="23"/>
      <c r="W36" s="23"/>
      <c r="AF36" s="1" t="s">
        <v>231</v>
      </c>
      <c r="AP36" s="9"/>
      <c r="AR36" s="7"/>
      <c r="AS36" s="73" t="str">
        <f>"2: MotorVAR Performance with RVSS in operation and set at current limit of "&amp;P39&amp;"% FLA."</f>
        <v>2: MotorVAR Performance with RVSS in operation and set at current limit of 250% FLA.</v>
      </c>
      <c r="CF36" s="9"/>
      <c r="CI36" s="66" t="s">
        <v>55</v>
      </c>
      <c r="CJ36" s="119">
        <v>0</v>
      </c>
      <c r="CK36" s="119"/>
      <c r="CL36" s="119"/>
      <c r="CM36" s="119"/>
      <c r="CN36" s="119"/>
      <c r="CO36" s="119"/>
      <c r="CP36" s="119"/>
      <c r="CQ36" s="119"/>
      <c r="CR36" s="119"/>
      <c r="CS36" s="119"/>
      <c r="CT36" s="119"/>
      <c r="CU36" s="119"/>
      <c r="CV36" s="119"/>
      <c r="CW36" s="119"/>
      <c r="CX36" s="119"/>
      <c r="CY36" s="119"/>
      <c r="CZ36" s="119"/>
      <c r="DA36" s="119"/>
      <c r="DB36" s="119"/>
      <c r="DC36" s="119"/>
      <c r="DD36" s="119"/>
      <c r="DE36" s="66"/>
      <c r="DF36" s="66" t="s">
        <v>56</v>
      </c>
      <c r="DG36" s="66"/>
      <c r="DH36" s="66"/>
      <c r="DI36" s="66"/>
      <c r="DJ36" s="66"/>
      <c r="DK36" s="66"/>
      <c r="DL36" s="66"/>
      <c r="DM36" s="66"/>
      <c r="DN36" s="66"/>
      <c r="DO36" s="66"/>
      <c r="DP36" s="66"/>
      <c r="DQ36" s="66"/>
      <c r="DR36" s="66"/>
      <c r="DS36" s="66"/>
      <c r="DX36" s="35"/>
      <c r="DY36" s="36"/>
      <c r="DZ36" s="36"/>
      <c r="EA36" s="37"/>
      <c r="FH36" s="105" t="s">
        <v>167</v>
      </c>
      <c r="FI36" s="105"/>
      <c r="FJ36" s="105"/>
      <c r="FK36" s="100" t="str">
        <f>IMSUM(FK33,FK35)</f>
        <v>186.5628553293+152.394681109349i</v>
      </c>
      <c r="FL36" s="100"/>
      <c r="FM36" s="100"/>
      <c r="FN36" s="100"/>
      <c r="FO36" s="100"/>
      <c r="FP36" s="100"/>
      <c r="FQ36" s="100"/>
      <c r="FR36" s="100"/>
      <c r="FS36" s="100"/>
      <c r="FT36" s="100"/>
      <c r="FU36" s="100"/>
      <c r="FV36" s="100"/>
      <c r="FW36" s="100"/>
      <c r="FX36" s="100"/>
      <c r="FY36" s="100"/>
      <c r="FZ36" s="100"/>
      <c r="GA36" s="112">
        <f>IMABS(FK36)</f>
        <v>240.89383101076183</v>
      </c>
      <c r="GB36" s="112"/>
      <c r="GC36" s="112"/>
      <c r="GD36" s="112"/>
      <c r="GE36" s="68" t="s">
        <v>9</v>
      </c>
      <c r="GF36" s="93">
        <f t="shared" si="0"/>
        <v>39.243817741141555</v>
      </c>
      <c r="GG36" s="93"/>
      <c r="GH36" s="93"/>
      <c r="GI36" s="1" t="s">
        <v>10</v>
      </c>
      <c r="GJ36" s="68"/>
      <c r="GK36" s="68"/>
      <c r="GL36" s="68"/>
      <c r="GM36" s="68"/>
    </row>
    <row r="37" spans="2:195" ht="18" customHeight="1" x14ac:dyDescent="0.35">
      <c r="B37" s="7"/>
      <c r="O37" s="19" t="s">
        <v>75</v>
      </c>
      <c r="P37" s="117">
        <v>20</v>
      </c>
      <c r="Q37" s="117"/>
      <c r="R37" s="117"/>
      <c r="S37" s="1" t="s">
        <v>64</v>
      </c>
      <c r="U37" s="23"/>
      <c r="V37" s="23"/>
      <c r="W37" s="23"/>
      <c r="AP37" s="9"/>
      <c r="AR37" s="7"/>
      <c r="CF37" s="9"/>
      <c r="CI37" s="66" t="s">
        <v>58</v>
      </c>
      <c r="CJ37" s="119">
        <f>IF(P44=0,1E+99,-P43*P43/P44)</f>
        <v>-7.3349481132075489</v>
      </c>
      <c r="CK37" s="119"/>
      <c r="CL37" s="119"/>
      <c r="CM37" s="119"/>
      <c r="CN37" s="119"/>
      <c r="CO37" s="119"/>
      <c r="CP37" s="119"/>
      <c r="CQ37" s="119"/>
      <c r="CR37" s="119"/>
      <c r="CS37" s="119"/>
      <c r="CT37" s="119"/>
      <c r="CU37" s="119"/>
      <c r="CV37" s="119"/>
      <c r="CW37" s="119"/>
      <c r="CX37" s="119"/>
      <c r="CY37" s="119"/>
      <c r="CZ37" s="119"/>
      <c r="DA37" s="119"/>
      <c r="DB37" s="119"/>
      <c r="DC37" s="119"/>
      <c r="DD37" s="119"/>
      <c r="DE37" s="66"/>
      <c r="DF37" s="66" t="s">
        <v>56</v>
      </c>
      <c r="DG37" s="66"/>
      <c r="DH37" s="66"/>
      <c r="DI37" s="66"/>
      <c r="DJ37" s="66"/>
      <c r="DK37" s="66"/>
      <c r="DL37" s="66"/>
      <c r="DM37" s="66" t="s">
        <v>56</v>
      </c>
      <c r="DN37" s="66"/>
      <c r="DO37" s="66"/>
      <c r="DP37" s="66"/>
      <c r="DQ37" s="66"/>
      <c r="DR37" s="66"/>
      <c r="DS37" s="66"/>
      <c r="DX37" s="35"/>
      <c r="DY37" s="36"/>
      <c r="DZ37" s="36"/>
      <c r="EA37" s="37"/>
      <c r="FH37" s="68" t="s">
        <v>176</v>
      </c>
      <c r="FI37" s="68"/>
      <c r="FJ37" s="68"/>
      <c r="FK37" s="100" t="str">
        <f>IMSUB(P27*1000/1.73,IMPRODUCT(FK36,CI26))</f>
        <v>7478.35311352982-447.773781527486i</v>
      </c>
      <c r="FL37" s="100"/>
      <c r="FM37" s="100"/>
      <c r="FN37" s="100"/>
      <c r="FO37" s="100"/>
      <c r="FP37" s="100"/>
      <c r="FQ37" s="100"/>
      <c r="FR37" s="100"/>
      <c r="FS37" s="100"/>
      <c r="FT37" s="100"/>
      <c r="FU37" s="100"/>
      <c r="FV37" s="100"/>
      <c r="FW37" s="100"/>
      <c r="FX37" s="100"/>
      <c r="FY37" s="100"/>
      <c r="FZ37" s="100"/>
      <c r="GA37" s="112">
        <f>DJ16*1.73*IMABS(FK37)</f>
        <v>35857.649876070383</v>
      </c>
      <c r="GB37" s="112"/>
      <c r="GC37" s="112"/>
      <c r="GD37" s="112"/>
      <c r="GE37" s="68" t="s">
        <v>9</v>
      </c>
      <c r="GF37" s="93">
        <f t="shared" si="0"/>
        <v>-3.4265504351902902</v>
      </c>
      <c r="GG37" s="93"/>
      <c r="GH37" s="93"/>
      <c r="GI37" s="1" t="s">
        <v>30</v>
      </c>
      <c r="GJ37" s="69"/>
      <c r="GK37" s="68"/>
      <c r="GL37" s="68"/>
      <c r="GM37" s="68"/>
    </row>
    <row r="38" spans="2:195" ht="18" customHeight="1" x14ac:dyDescent="0.35">
      <c r="B38" s="7"/>
      <c r="C38" s="106" t="s">
        <v>155</v>
      </c>
      <c r="D38" s="106"/>
      <c r="E38" s="106"/>
      <c r="F38" s="106"/>
      <c r="G38" s="106"/>
      <c r="H38" s="106"/>
      <c r="I38" s="106"/>
      <c r="J38" s="106"/>
      <c r="K38" s="106"/>
      <c r="L38" s="106"/>
      <c r="M38" s="106"/>
      <c r="N38" s="106"/>
      <c r="O38" s="106"/>
      <c r="P38" s="106"/>
      <c r="Q38" s="106"/>
      <c r="R38" s="106"/>
      <c r="S38" s="106"/>
      <c r="T38" s="106"/>
      <c r="AP38" s="9"/>
      <c r="AR38" s="7"/>
      <c r="AS38" s="124" t="str">
        <f>"The MotorVar without the RVSS reduces the "&amp;P27&amp;"kV system's inrush current from "&amp;BH30&amp;" ("&amp;ROUND(100*BH32,1)&amp;" %FLA) to "&amp;BP30&amp;" amps ("&amp;ROUND(100*BP32,1)&amp;" % of FLA). The voltage during starting at the "&amp;P27&amp;" kV bus is increased from "&amp;ROUND(BH26*100,1)&amp;"% to "&amp;ROUND(BP26*100,1)&amp;"%. The "&amp;P22&amp;" kV primary voltage increased from "&amp;ROUND(BH22*100,1)&amp;"% to "&amp;ROUND(100*BP22,1)&amp;"%.
With both the RVSS and MotorVAR in operation, the "&amp;P22&amp;"kV system voltage during starting changes from "&amp;ROUND(BP22*100,1)&amp;"% to "&amp;ROUND(BX22*100,1)&amp;"% and the "&amp;P27&amp;"kV system voltage changes from "&amp;ROUND(BP26*100,1)&amp;"% to "&amp;ROUND(BX26*100,1)&amp;"%.
Because of RVSS operation and the current at the motor being reduced from "&amp;ROUND(ER11,0)&amp;" amps ("&amp;ROUND(BP12*100,1)&amp;"% FLA) to "&amp;ROUND(FM11,0)&amp;" amps ("&amp;ROUND(FM12*100,1)&amp;"% FLA), the motor torque is reduced from "&amp;ROUND(BP15*100,1)&amp;"% of maximum torque to "&amp;ROUND(BX15*100,1)&amp;"%. The MotorVAR improves RVSS performance, but at the cost of reduction in torque. Confirm the starting torque is sufficent for the load."</f>
        <v>The MotorVar without the RVSS reduces the 12.47kV system's inrush current from 1031 amps (293 %FLA) to 542 amps amps (154.1 % of FLA). The voltage during starting at the 12.47 kV bus is increased from 64.9% to 82.5%. The 34.5 kV primary voltage increased from 69% to 84.5%.
With both the RVSS and MotorVAR in operation, the 34.5kV system voltage during starting changes from 84.5% to 103.9% and the 12.47kV system voltage changes from 82.5% to 104.5%.
Because of RVSS operation and the current at the motor being reduced from 1312 amps (372.9% FLA) to 880 amps (250% FLA), the motor torque is reduced from 55.6% of maximum torque to 25%. The MotorVAR improves RVSS performance, but at the cost of reduction in torque. Confirm the starting torque is sufficent for the load.</v>
      </c>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c r="BT38" s="124"/>
      <c r="BU38" s="124"/>
      <c r="BV38" s="124"/>
      <c r="BW38" s="124"/>
      <c r="BX38" s="124"/>
      <c r="BY38" s="124"/>
      <c r="BZ38" s="124"/>
      <c r="CA38" s="124"/>
      <c r="CB38" s="124"/>
      <c r="CC38" s="124"/>
      <c r="CD38" s="124"/>
      <c r="CE38" s="124"/>
      <c r="CF38" s="9"/>
      <c r="CI38" s="107" t="str">
        <f>COMPLEX(CJ36,CJ37)</f>
        <v>-7.33494811320755i</v>
      </c>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5"/>
      <c r="DM38" s="15" t="s">
        <v>56</v>
      </c>
      <c r="DN38" s="15"/>
      <c r="DX38" s="35"/>
      <c r="DY38" s="36"/>
      <c r="DZ38" s="36"/>
      <c r="EA38" s="37"/>
      <c r="FH38" s="68" t="s">
        <v>178</v>
      </c>
      <c r="FI38" s="68"/>
      <c r="FJ38" s="68"/>
      <c r="FK38" s="100" t="str">
        <f>IMSUB(P27*1000/1.73,IMPRODUCT(FK36,IMSUM(CI30,CI26)))</f>
        <v>7520.86145355017-503.68566494339i</v>
      </c>
      <c r="FL38" s="100"/>
      <c r="FM38" s="100"/>
      <c r="FN38" s="100"/>
      <c r="FO38" s="100"/>
      <c r="FP38" s="100"/>
      <c r="FQ38" s="100"/>
      <c r="FR38" s="100"/>
      <c r="FS38" s="100"/>
      <c r="FT38" s="100"/>
      <c r="FU38" s="100"/>
      <c r="FV38" s="100"/>
      <c r="FW38" s="100"/>
      <c r="FX38" s="100"/>
      <c r="FY38" s="100"/>
      <c r="FZ38" s="100"/>
      <c r="GA38" s="112">
        <f>1.73*IMABS(FK38)</f>
        <v>13040.236487821281</v>
      </c>
      <c r="GB38" s="112"/>
      <c r="GC38" s="112"/>
      <c r="GD38" s="112"/>
      <c r="GE38" s="68" t="s">
        <v>9</v>
      </c>
      <c r="GF38" s="93">
        <f t="shared" si="0"/>
        <v>-3.8314802475814589</v>
      </c>
      <c r="GG38" s="93"/>
      <c r="GH38" s="93"/>
      <c r="GI38" s="1" t="s">
        <v>30</v>
      </c>
      <c r="GK38" s="68"/>
      <c r="GL38" s="68"/>
      <c r="GM38" s="68"/>
    </row>
    <row r="39" spans="2:195" ht="18" customHeight="1" x14ac:dyDescent="0.35">
      <c r="B39" s="7"/>
      <c r="O39" s="19" t="s">
        <v>180</v>
      </c>
      <c r="P39" s="108">
        <v>250</v>
      </c>
      <c r="Q39" s="108"/>
      <c r="R39" s="108"/>
      <c r="S39" s="1" t="s">
        <v>64</v>
      </c>
      <c r="T39" s="32" t="str">
        <f>IF(OR($P$39="", $P$40=""),"", IF($P$39&gt;$P$40,"⚠ OVER MAX",""))</f>
        <v/>
      </c>
      <c r="AP39" s="9"/>
      <c r="AR39" s="7"/>
      <c r="AS39" s="124"/>
      <c r="AT39" s="124"/>
      <c r="AU39" s="124"/>
      <c r="AV39" s="124"/>
      <c r="AW39" s="124"/>
      <c r="AX39" s="124"/>
      <c r="AY39" s="124"/>
      <c r="AZ39" s="124"/>
      <c r="BA39" s="124"/>
      <c r="BB39" s="124"/>
      <c r="BC39" s="124"/>
      <c r="BD39" s="124"/>
      <c r="BE39" s="124"/>
      <c r="BF39" s="124"/>
      <c r="BG39" s="124"/>
      <c r="BH39" s="124"/>
      <c r="BI39" s="124"/>
      <c r="BJ39" s="124"/>
      <c r="BK39" s="124"/>
      <c r="BL39" s="124"/>
      <c r="BM39" s="124"/>
      <c r="BN39" s="124"/>
      <c r="BO39" s="124"/>
      <c r="BP39" s="124"/>
      <c r="BQ39" s="124"/>
      <c r="BR39" s="124"/>
      <c r="BS39" s="124"/>
      <c r="BT39" s="124"/>
      <c r="BU39" s="124"/>
      <c r="BV39" s="124"/>
      <c r="BW39" s="124"/>
      <c r="BX39" s="124"/>
      <c r="BY39" s="124"/>
      <c r="BZ39" s="124"/>
      <c r="CA39" s="124"/>
      <c r="CB39" s="124"/>
      <c r="CC39" s="124"/>
      <c r="CD39" s="124"/>
      <c r="CE39" s="124"/>
      <c r="CF39" s="9"/>
      <c r="CI39" s="31" t="s">
        <v>78</v>
      </c>
      <c r="DX39" s="35"/>
      <c r="DY39" s="36"/>
      <c r="DZ39" s="36"/>
      <c r="EA39" s="37"/>
    </row>
    <row r="40" spans="2:195" ht="18" customHeight="1" x14ac:dyDescent="0.25">
      <c r="B40" s="7"/>
      <c r="O40" s="19" t="s">
        <v>162</v>
      </c>
      <c r="P40" s="123">
        <f>BP12*100</f>
        <v>372.9271936351152</v>
      </c>
      <c r="Q40" s="123"/>
      <c r="R40" s="123"/>
      <c r="S40" s="1" t="s">
        <v>64</v>
      </c>
      <c r="AH40" s="100" t="str">
        <f>TEXT(P32,"#,##0") &amp;"HP, "&amp;P43&amp;"kV"</f>
        <v>10,000HP, 12.47kV</v>
      </c>
      <c r="AI40" s="100"/>
      <c r="AJ40" s="100"/>
      <c r="AK40" s="100"/>
      <c r="AL40" s="100"/>
      <c r="AM40" s="100"/>
      <c r="AN40" s="100"/>
      <c r="AO40" s="100"/>
      <c r="AP40" s="9"/>
      <c r="AR40" s="7"/>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24"/>
      <c r="BT40" s="124"/>
      <c r="BU40" s="124"/>
      <c r="BV40" s="124"/>
      <c r="BW40" s="124"/>
      <c r="BX40" s="124"/>
      <c r="BY40" s="124"/>
      <c r="BZ40" s="124"/>
      <c r="CA40" s="124"/>
      <c r="CB40" s="124"/>
      <c r="CC40" s="124"/>
      <c r="CD40" s="124"/>
      <c r="CE40" s="124"/>
      <c r="CF40" s="9"/>
      <c r="CI40" s="118" t="str">
        <f>IMSUM(CI34,CI30,CI26)</f>
        <v>1.22393623460407+6.88270684911403i</v>
      </c>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5"/>
      <c r="DM40" s="15" t="s">
        <v>56</v>
      </c>
      <c r="DN40" s="15"/>
      <c r="DO40" s="15"/>
      <c r="DX40" s="35"/>
      <c r="DY40" s="36"/>
      <c r="DZ40" s="36"/>
      <c r="EA40" s="37"/>
      <c r="FK40" s="100" t="str">
        <f>IMPRODUCT(ER10, COMPLEX(FL41, 0))</f>
        <v>116.943849455796-871.942772534103i</v>
      </c>
      <c r="FL40" s="100"/>
      <c r="FM40" s="100"/>
      <c r="FN40" s="100"/>
      <c r="FO40" s="100"/>
      <c r="FP40" s="100"/>
      <c r="FQ40" s="100"/>
      <c r="FR40" s="100"/>
      <c r="FS40" s="100"/>
      <c r="FT40" s="100"/>
      <c r="FU40" s="100"/>
      <c r="FV40" s="100"/>
      <c r="FW40" s="100"/>
      <c r="FX40" s="100"/>
      <c r="FY40" s="100"/>
      <c r="FZ40" s="100" t="s">
        <v>179</v>
      </c>
      <c r="GA40" s="100"/>
      <c r="GB40" s="100"/>
      <c r="GC40" s="100"/>
      <c r="GD40" s="100"/>
      <c r="GE40" s="100"/>
      <c r="GF40" s="100"/>
      <c r="GG40" s="100"/>
      <c r="GH40" s="100"/>
      <c r="GI40" s="100"/>
      <c r="GJ40" s="100"/>
      <c r="GK40" s="100"/>
    </row>
    <row r="41" spans="2:195" ht="18" customHeight="1" x14ac:dyDescent="0.25">
      <c r="B41" s="7"/>
      <c r="O41" s="19" t="s">
        <v>163</v>
      </c>
      <c r="P41" s="123">
        <f>BH12*100</f>
        <v>293.00927298327645</v>
      </c>
      <c r="Q41" s="123"/>
      <c r="R41" s="123"/>
      <c r="S41" s="1" t="s">
        <v>64</v>
      </c>
      <c r="AH41" s="100" t="str">
        <f>"LRA: "&amp;P36&amp;"%"</f>
        <v>LRA: 500%</v>
      </c>
      <c r="AI41" s="100"/>
      <c r="AJ41" s="100"/>
      <c r="AK41" s="100"/>
      <c r="AL41" s="100"/>
      <c r="AM41" s="100"/>
      <c r="AN41" s="100"/>
      <c r="AO41" s="100"/>
      <c r="AP41" s="9"/>
      <c r="AR41" s="7"/>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4"/>
      <c r="BR41" s="124"/>
      <c r="BS41" s="124"/>
      <c r="BT41" s="124"/>
      <c r="BU41" s="124"/>
      <c r="BV41" s="124"/>
      <c r="BW41" s="124"/>
      <c r="BX41" s="124"/>
      <c r="BY41" s="124"/>
      <c r="BZ41" s="124"/>
      <c r="CA41" s="124"/>
      <c r="CB41" s="124"/>
      <c r="CC41" s="124"/>
      <c r="CD41" s="124"/>
      <c r="CE41" s="124"/>
      <c r="CF41" s="9"/>
      <c r="DI41" s="19" t="s">
        <v>82</v>
      </c>
      <c r="DJ41" s="110">
        <f>IMABS(CI40)</f>
        <v>6.9906847645433112</v>
      </c>
      <c r="DK41" s="110"/>
      <c r="DL41" s="110"/>
      <c r="DM41" s="110"/>
      <c r="DN41" s="3" t="s">
        <v>9</v>
      </c>
      <c r="DO41" s="93">
        <f>DEGREES(IMARGUMENT(CI40))</f>
        <v>79.916626866690422</v>
      </c>
      <c r="DP41" s="93"/>
      <c r="DQ41" s="93"/>
      <c r="DR41" s="1" t="s">
        <v>56</v>
      </c>
      <c r="DX41" s="35"/>
      <c r="DY41" s="36"/>
      <c r="DZ41" s="36"/>
      <c r="EA41" s="37"/>
      <c r="FL41" s="109">
        <f>(P39*P33/100)/ER11</f>
        <v>0.6703721376902555</v>
      </c>
      <c r="FM41" s="109"/>
      <c r="FN41" s="109"/>
      <c r="FO41" s="109"/>
      <c r="FP41" s="109"/>
      <c r="FQ41" s="109"/>
      <c r="FR41" s="109"/>
      <c r="FZ41" s="100"/>
      <c r="GA41" s="100"/>
      <c r="GB41" s="100"/>
      <c r="GC41" s="100"/>
      <c r="GD41" s="100"/>
      <c r="GE41" s="100"/>
      <c r="GF41" s="100"/>
      <c r="GG41" s="100"/>
      <c r="GH41" s="100"/>
      <c r="GI41" s="100"/>
      <c r="GJ41" s="100"/>
      <c r="GK41" s="100"/>
    </row>
    <row r="42" spans="2:195" ht="18" customHeight="1" x14ac:dyDescent="0.35">
      <c r="B42" s="7"/>
      <c r="C42" s="106" t="s">
        <v>76</v>
      </c>
      <c r="D42" s="106"/>
      <c r="E42" s="106"/>
      <c r="F42" s="106"/>
      <c r="G42" s="106"/>
      <c r="H42" s="106"/>
      <c r="I42" s="106"/>
      <c r="J42" s="106"/>
      <c r="K42" s="106"/>
      <c r="L42" s="106"/>
      <c r="M42" s="106"/>
      <c r="N42" s="106"/>
      <c r="O42" s="106"/>
      <c r="P42" s="106"/>
      <c r="Q42" s="106"/>
      <c r="R42" s="106"/>
      <c r="S42" s="106"/>
      <c r="T42" s="106"/>
      <c r="AH42" s="100" t="str">
        <f>"FLA: "&amp;P33&amp;"A"</f>
        <v>FLA: 351.9A</v>
      </c>
      <c r="AI42" s="100"/>
      <c r="AJ42" s="100"/>
      <c r="AK42" s="100"/>
      <c r="AL42" s="100"/>
      <c r="AM42" s="100"/>
      <c r="AN42" s="100"/>
      <c r="AO42" s="100"/>
      <c r="AP42" s="9"/>
      <c r="AR42" s="7"/>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4"/>
      <c r="BR42" s="124"/>
      <c r="BS42" s="124"/>
      <c r="BT42" s="124"/>
      <c r="BU42" s="124"/>
      <c r="BV42" s="124"/>
      <c r="BW42" s="124"/>
      <c r="BX42" s="124"/>
      <c r="BY42" s="124"/>
      <c r="BZ42" s="124"/>
      <c r="CA42" s="124"/>
      <c r="CB42" s="124"/>
      <c r="CC42" s="124"/>
      <c r="CD42" s="124"/>
      <c r="CE42" s="124"/>
      <c r="CF42" s="9"/>
      <c r="CI42" s="31" t="s">
        <v>83</v>
      </c>
      <c r="DX42" s="35"/>
      <c r="DY42" s="36"/>
      <c r="DZ42" s="36"/>
      <c r="EA42" s="37"/>
      <c r="FI42" s="1" t="s">
        <v>181</v>
      </c>
    </row>
    <row r="43" spans="2:195" ht="18" customHeight="1" x14ac:dyDescent="0.25">
      <c r="B43" s="7"/>
      <c r="C43" s="23"/>
      <c r="K43" s="23"/>
      <c r="L43" s="30"/>
      <c r="M43" s="23"/>
      <c r="N43" s="10"/>
      <c r="O43" s="10" t="s">
        <v>77</v>
      </c>
      <c r="P43" s="117">
        <v>12.47</v>
      </c>
      <c r="Q43" s="117"/>
      <c r="R43" s="117"/>
      <c r="S43" s="23" t="s">
        <v>48</v>
      </c>
      <c r="T43" s="23"/>
      <c r="AP43" s="9"/>
      <c r="AR43" s="7"/>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4"/>
      <c r="BR43" s="124"/>
      <c r="BS43" s="124"/>
      <c r="BT43" s="124"/>
      <c r="BU43" s="124"/>
      <c r="BV43" s="124"/>
      <c r="BW43" s="124"/>
      <c r="BX43" s="124"/>
      <c r="BY43" s="124"/>
      <c r="BZ43" s="124"/>
      <c r="CA43" s="124"/>
      <c r="CB43" s="124"/>
      <c r="CC43" s="124"/>
      <c r="CD43" s="124"/>
      <c r="CE43" s="124"/>
      <c r="CF43" s="9"/>
      <c r="CI43" s="118" t="str">
        <f>IMDIV(IMPRODUCT(CI38,CI34),IMSUM(CI38,CI34))</f>
        <v>5.30754160479021+9.59903626299897i</v>
      </c>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31"/>
      <c r="DN43" s="100">
        <f>IMABS(CI43)</f>
        <v>10.968659674953374</v>
      </c>
      <c r="DO43" s="100"/>
      <c r="DP43" s="100"/>
      <c r="DQ43" s="100"/>
      <c r="DR43" s="1" t="s">
        <v>9</v>
      </c>
      <c r="DS43" s="100">
        <f>DEGREES(IMARGUMENT(CI43))</f>
        <v>61.060722370285113</v>
      </c>
      <c r="DT43" s="100"/>
      <c r="DU43" s="100"/>
      <c r="DV43" s="100"/>
      <c r="DW43" s="1" t="s">
        <v>56</v>
      </c>
      <c r="DX43" s="35"/>
      <c r="DY43" s="36"/>
      <c r="DZ43" s="36"/>
      <c r="EA43" s="37"/>
    </row>
    <row r="44" spans="2:195" ht="18" customHeight="1" x14ac:dyDescent="0.25">
      <c r="B44" s="7"/>
      <c r="D44" s="23"/>
      <c r="E44" s="23"/>
      <c r="F44" s="23"/>
      <c r="G44" s="23"/>
      <c r="H44" s="23"/>
      <c r="I44" s="23"/>
      <c r="J44" s="23"/>
      <c r="K44" s="23"/>
      <c r="L44" s="30"/>
      <c r="M44" s="23"/>
      <c r="N44" s="23"/>
      <c r="O44" s="10" t="s">
        <v>79</v>
      </c>
      <c r="P44" s="117">
        <v>21.2</v>
      </c>
      <c r="Q44" s="117"/>
      <c r="R44" s="117"/>
      <c r="S44" s="23" t="s">
        <v>80</v>
      </c>
      <c r="T44" s="23"/>
      <c r="AP44" s="9"/>
      <c r="AR44" s="7"/>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4"/>
      <c r="BV44" s="124"/>
      <c r="BW44" s="124"/>
      <c r="BX44" s="124"/>
      <c r="BY44" s="124"/>
      <c r="BZ44" s="124"/>
      <c r="CA44" s="124"/>
      <c r="CB44" s="124"/>
      <c r="CC44" s="124"/>
      <c r="CD44" s="124"/>
      <c r="CE44" s="124"/>
      <c r="CF44" s="9"/>
      <c r="CI44" s="31" t="s">
        <v>85</v>
      </c>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X44" s="35"/>
      <c r="DY44" s="36"/>
      <c r="DZ44" s="36"/>
      <c r="EA44" s="37"/>
    </row>
    <row r="45" spans="2:195" ht="18" customHeight="1" x14ac:dyDescent="0.25">
      <c r="B45" s="7"/>
      <c r="F45" s="23"/>
      <c r="G45" s="23"/>
      <c r="H45" s="23"/>
      <c r="I45" s="23"/>
      <c r="J45" s="23"/>
      <c r="K45" s="23"/>
      <c r="L45" s="30"/>
      <c r="M45" s="23"/>
      <c r="N45" s="23"/>
      <c r="O45" s="10" t="s">
        <v>81</v>
      </c>
      <c r="P45" s="117">
        <v>3</v>
      </c>
      <c r="Q45" s="117"/>
      <c r="R45" s="117"/>
      <c r="S45" s="23"/>
      <c r="T45" s="23"/>
      <c r="W45" s="1" t="str">
        <f>P45&amp;" Stage MotorVAR"</f>
        <v>3 Stage MotorVAR</v>
      </c>
      <c r="AP45" s="9"/>
      <c r="AR45" s="7"/>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c r="BT45" s="124"/>
      <c r="BU45" s="124"/>
      <c r="BV45" s="124"/>
      <c r="BW45" s="124"/>
      <c r="BX45" s="124"/>
      <c r="BY45" s="124"/>
      <c r="BZ45" s="124"/>
      <c r="CA45" s="124"/>
      <c r="CB45" s="124"/>
      <c r="CC45" s="124"/>
      <c r="CD45" s="124"/>
      <c r="CE45" s="124"/>
      <c r="CF45" s="9"/>
      <c r="CI45" s="118" t="str">
        <f>IMSUM(CI43,CI30,CI26)</f>
        <v>5.62475676946342+12.0397351913909i</v>
      </c>
      <c r="CJ45" s="118"/>
      <c r="CK45" s="118"/>
      <c r="CL45" s="118"/>
      <c r="CM45" s="118"/>
      <c r="CN45" s="118"/>
      <c r="CO45" s="118"/>
      <c r="CP45" s="118"/>
      <c r="CQ45" s="118"/>
      <c r="CR45" s="118"/>
      <c r="CS45" s="118"/>
      <c r="CT45" s="118"/>
      <c r="CU45" s="118"/>
      <c r="CV45" s="118"/>
      <c r="CW45" s="118"/>
      <c r="CX45" s="118"/>
      <c r="CY45" s="118"/>
      <c r="CZ45" s="118"/>
      <c r="DA45" s="118"/>
      <c r="DB45" s="118"/>
      <c r="DC45" s="118"/>
      <c r="DD45" s="118"/>
      <c r="DE45" s="118"/>
      <c r="DF45" s="118"/>
      <c r="DG45" s="118"/>
      <c r="DH45" s="118"/>
      <c r="DI45" s="118"/>
      <c r="DJ45" s="118"/>
      <c r="DK45" s="118"/>
      <c r="DL45" s="118"/>
      <c r="DX45" s="35"/>
      <c r="DY45" s="36"/>
      <c r="DZ45" s="36"/>
      <c r="EA45" s="37"/>
    </row>
    <row r="46" spans="2:195" ht="18" customHeight="1" x14ac:dyDescent="0.25">
      <c r="B46" s="7"/>
      <c r="R46" s="1" t="s">
        <v>154</v>
      </c>
      <c r="W46" s="1" t="str">
        <f>P43&amp;"KV, "&amp;P44&amp;" MVAR"</f>
        <v>12.47KV, 21.2 MVAR</v>
      </c>
      <c r="AP46" s="42"/>
      <c r="AR46" s="7"/>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c r="BW46" s="124"/>
      <c r="BX46" s="124"/>
      <c r="BY46" s="124"/>
      <c r="BZ46" s="124"/>
      <c r="CA46" s="124"/>
      <c r="CB46" s="124"/>
      <c r="CC46" s="124"/>
      <c r="CD46" s="124"/>
      <c r="CE46" s="124"/>
      <c r="CF46" s="9"/>
      <c r="CI46" s="1" t="s">
        <v>12</v>
      </c>
      <c r="DI46" s="19" t="s">
        <v>82</v>
      </c>
      <c r="DJ46" s="110">
        <f>IMABS(CI45)</f>
        <v>13.288834117199334</v>
      </c>
      <c r="DK46" s="110"/>
      <c r="DL46" s="110"/>
      <c r="DM46" s="110"/>
      <c r="DN46" s="3" t="s">
        <v>9</v>
      </c>
      <c r="DO46" s="93">
        <f>DEGREES(IMARGUMENT(CI45))</f>
        <v>64.95882920782563</v>
      </c>
      <c r="DP46" s="93"/>
      <c r="DQ46" s="93"/>
      <c r="DR46" s="1" t="s">
        <v>56</v>
      </c>
      <c r="DX46" s="35"/>
      <c r="DY46" s="36"/>
      <c r="DZ46" s="36"/>
      <c r="EA46" s="37"/>
    </row>
    <row r="47" spans="2:195"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X47" s="35"/>
      <c r="DY47" s="36"/>
      <c r="DZ47" s="36"/>
      <c r="EA47" s="37"/>
    </row>
    <row r="48" spans="2:195" ht="18" customHeight="1" x14ac:dyDescent="0.25">
      <c r="B48" s="7"/>
      <c r="D48" s="43" t="s">
        <v>86</v>
      </c>
      <c r="AP48" s="9"/>
      <c r="AR48" s="7"/>
      <c r="AT48" s="43" t="s">
        <v>86</v>
      </c>
      <c r="CE48" s="19" t="s">
        <v>87</v>
      </c>
      <c r="CF48" s="9"/>
      <c r="CJ48" s="1" t="s">
        <v>88</v>
      </c>
      <c r="DN48" s="100" t="str">
        <f>IMDIV(P27/1.73,IMSUM(CI26,CI30))</f>
        <v>0.377460113665694-2.90423219798979i</v>
      </c>
      <c r="DO48" s="100"/>
      <c r="DP48" s="100"/>
      <c r="DQ48" s="100"/>
      <c r="DR48" s="100"/>
      <c r="DS48" s="100"/>
      <c r="DT48" s="100"/>
      <c r="DU48" s="100"/>
      <c r="DV48" s="100"/>
      <c r="DW48" s="100"/>
      <c r="DX48" s="100"/>
      <c r="DY48" s="100"/>
      <c r="DZ48" s="100"/>
      <c r="EA48" s="37" t="s">
        <v>89</v>
      </c>
    </row>
    <row r="49" spans="2:237" ht="18" customHeight="1" x14ac:dyDescent="0.25">
      <c r="B49" s="44"/>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5" t="s">
        <v>240</v>
      </c>
      <c r="AF49" s="41"/>
      <c r="AG49" s="41"/>
      <c r="AH49" s="41"/>
      <c r="AI49" s="41"/>
      <c r="AJ49" s="41"/>
      <c r="AK49" s="41"/>
      <c r="AL49" s="41"/>
      <c r="AM49" s="41"/>
      <c r="AN49" s="41"/>
      <c r="AO49" s="41"/>
      <c r="AP49" s="46"/>
      <c r="AR49" s="44"/>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6"/>
      <c r="DN49" s="100">
        <f>IMABS(DN48)</f>
        <v>2.9286585320329039</v>
      </c>
      <c r="DO49" s="100"/>
      <c r="DP49" s="100"/>
      <c r="DQ49" s="100"/>
      <c r="DR49" s="1" t="s">
        <v>89</v>
      </c>
      <c r="DX49" s="35"/>
      <c r="DY49" s="36"/>
      <c r="DZ49" s="36"/>
      <c r="EA49" s="37"/>
    </row>
    <row r="50" spans="2:237" ht="18" customHeight="1" x14ac:dyDescent="0.25">
      <c r="DL50" s="19" t="s">
        <v>90</v>
      </c>
      <c r="DN50" s="100">
        <f>DN49*1.73*P27</f>
        <v>63.180243377399037</v>
      </c>
      <c r="DO50" s="100"/>
      <c r="DP50" s="100"/>
      <c r="DQ50" s="100"/>
      <c r="DR50" s="1" t="s">
        <v>91</v>
      </c>
      <c r="DX50" s="35"/>
      <c r="DY50" s="36"/>
      <c r="DZ50" s="36"/>
      <c r="EA50" s="37"/>
    </row>
    <row r="51" spans="2:23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DX51" s="35"/>
      <c r="DY51" s="36"/>
      <c r="DZ51" s="36"/>
      <c r="EA51" s="37"/>
    </row>
    <row r="52" spans="2:237" ht="18" customHeight="1" x14ac:dyDescent="0.25">
      <c r="B52" s="7"/>
      <c r="AN52" s="8"/>
      <c r="AP52" s="9"/>
      <c r="AR52" s="7"/>
      <c r="CD52" s="8"/>
      <c r="CF52" s="9"/>
      <c r="DX52" s="35"/>
      <c r="DY52" s="36"/>
      <c r="DZ52" s="36"/>
      <c r="EA52" s="37"/>
    </row>
    <row r="53" spans="2:237" ht="18" customHeight="1" x14ac:dyDescent="0.25">
      <c r="B53" s="7"/>
      <c r="AN53" s="10"/>
      <c r="AP53" s="9"/>
      <c r="AR53" s="7"/>
      <c r="CD53" s="10"/>
      <c r="CF53" s="9"/>
      <c r="DX53" s="35"/>
      <c r="DY53" s="36"/>
      <c r="DZ53" s="36"/>
      <c r="EA53" s="37"/>
    </row>
    <row r="54" spans="2:237" ht="18" customHeight="1" thickBot="1" x14ac:dyDescent="0.3">
      <c r="B54" s="7"/>
      <c r="C54" s="11" t="str">
        <f>C7</f>
        <v xml:space="preserve">MotorVAR™ SIZING TOOL - MOTOR START CAPACITOR BANK
MotorVAR + RVSS CONFIGURATION </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tr">
        <f>C7</f>
        <v xml:space="preserve">MotorVAR™ SIZING TOOL - MOTOR START CAPACITOR BANK
MotorVAR + RVSS CONFIGURATION </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DX54" s="35"/>
      <c r="DY54" s="36"/>
      <c r="DZ54" s="36"/>
      <c r="EA54" s="37"/>
    </row>
    <row r="55" spans="2:237" ht="18" customHeight="1" x14ac:dyDescent="0.25">
      <c r="B55" s="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9"/>
      <c r="AR55" s="7"/>
      <c r="CD55" s="10"/>
      <c r="CF55" s="9"/>
      <c r="DX55" s="35"/>
      <c r="DY55" s="36"/>
      <c r="DZ55" s="36"/>
      <c r="EA55" s="37"/>
    </row>
    <row r="56" spans="2:237" ht="18" customHeight="1" x14ac:dyDescent="0.3">
      <c r="B56" s="7"/>
      <c r="C56" s="28" t="s">
        <v>184</v>
      </c>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9"/>
      <c r="AR56" s="7"/>
      <c r="AS56" s="28" t="s">
        <v>189</v>
      </c>
      <c r="CF56" s="9"/>
      <c r="DE56" s="1" t="s">
        <v>93</v>
      </c>
      <c r="DX56" s="35"/>
      <c r="DY56" s="36"/>
      <c r="DZ56" s="36"/>
      <c r="EA56" s="37"/>
    </row>
    <row r="57" spans="2:237" ht="18" customHeight="1" x14ac:dyDescent="0.25">
      <c r="B57" s="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9"/>
      <c r="AR57" s="7"/>
      <c r="CF57" s="9"/>
      <c r="DE57" s="47" t="str">
        <f>"This analysis evaluates the starting performance of a "&amp;TEXT(P32,"#,##0")&amp;" HP, "&amp;P31&amp;" kV motor connected to a utility system with a "&amp;P22&amp;" kV point of common coupling (PCC). The utility short-circuit level at the PCC is "&amp;P23&amp;" kA (3-phase) with an X/R ratio of "&amp;P24&amp;", supplying the motor through a "&amp;P26&amp;" MVA, "&amp;P22&amp;" kV–"&amp;P27&amp;" kV step-down transformer with "&amp;P28&amp;"% leakage impedance.
The motor has a full-load current (FLA) of "&amp;P33&amp;" amps, a locked-rotor current (LRA) of "&amp;P36&amp;"% FLA, and a rated efficiency of "&amp;P35&amp;"% and power factor of "&amp;P34&amp;"%. A "&amp;P44&amp;" MVAR, "&amp;P43&amp;"kV, "&amp;P45&amp;_xlfn._LONGTEXT(" stage MotorVAR system is applied at the main secondary bus to support motor starting and to reduce system impact. In addition to the MotorVAR, and to further reduce system impacts and to reduce the rating of the MotorVAR system, an RVSS with current limi","t setting of ")&amp;P39&amp;"% is also applied to the motor."</f>
        <v>This analysis evaluates the starting performance of a 10,000 HP, 13.8 kV motor connected to a utility system with a 34.5 kV point of common coupling (PCC). The utility short-circuit level at the PCC is 1.2 kA (3-phase) with an X/R ratio of 7, supplying the motor through a 40 MVA, 34.5 kV–12.47 kV step-down transformer with 7.5% leakage impedance.
The motor has a full-load current (FLA) of 351.9 amps, a locked-rotor current (LRA) of 500% FLA, and a rated efficiency of 97.4% and power factor of 90%. A 21.2 MVAR, 12.47kV, 3 stage MotorVAR system is applied at the main secondary bus to support motor starting and to reduce system impact. In addition to the MotorVAR, and to further reduce system impacts and to reduce the rating of the MotorVAR system, an RVSS with current limit setting of 250% is also applied to the motor.</v>
      </c>
      <c r="DX57" s="35"/>
      <c r="DY57" s="36"/>
      <c r="DZ57" s="36"/>
      <c r="EA57" s="37"/>
    </row>
    <row r="58" spans="2:237" ht="18" customHeight="1" x14ac:dyDescent="0.25">
      <c r="B58" s="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9"/>
      <c r="AR58" s="7"/>
      <c r="CF58" s="9"/>
      <c r="DX58" s="35"/>
      <c r="DY58" s="36"/>
      <c r="DZ58" s="36"/>
      <c r="EA58" s="37"/>
    </row>
    <row r="59" spans="2:237" ht="18" customHeight="1" x14ac:dyDescent="0.25">
      <c r="B59" s="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9"/>
      <c r="AR59" s="7"/>
      <c r="CF59" s="9"/>
      <c r="DE59" s="1" t="s">
        <v>94</v>
      </c>
      <c r="DX59" s="35"/>
      <c r="DY59" s="36"/>
      <c r="DZ59" s="36"/>
      <c r="EA59" s="37"/>
    </row>
    <row r="60" spans="2:237" ht="18" customHeight="1" x14ac:dyDescent="0.25">
      <c r="B60" s="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9"/>
      <c r="AR60" s="7"/>
      <c r="CF60" s="9"/>
      <c r="DE60" s="47" t="str">
        <f>"Without MotorVAR or RVSS assistance, the motor draws approximately "&amp;ROUND(DJ8,1)&amp;" amps ("&amp;ROUND(DJ9*100,1)&amp;"% of FLA) during starting. This results in significant voltage drop, with the motor terminal voltage dropping to near "&amp;BH13&amp;", or "&amp;ROUND(BH14*100,1)&amp;"% of rated voltage. Under these conditions, available starting torque drops to approximately "&amp;ROUND(BH15*100,1)&amp;"% of rated torque, increasing the risk of stalled or prolonged motor acceleration.
From a system perspective, the voltage at the "&amp;P22&amp;" kV PCC drops to near "&amp;BH21&amp;", or "&amp;ROUND(BH22*100,1)&amp;"% of rated voltage while the "&amp;P27&amp;" kV Secondary bus drops to near "&amp;BH25&amp;" or "&amp;ROUND(BH26*100,1)&amp;"% of nominal. This corresponds to voltage drops of approximately "&amp;ROUND(BH23*100,1)&amp;"% at the PCC and "&amp;ROUND(BH27*100,1)&amp;"% at the secondary bus. Typical performance objectives require motor bus voltage no lower than 90% of nominal and primary voltage near 96%.  When these objectives are not met, alternate starting methods are usually considered."</f>
        <v>Without MotorVAR or RVSS assistance, the motor draws approximately 1031.1 amps (293% of FLA) during starting. This results in significant voltage drop, with the motor terminal voltage dropping to near 8.09 kV, or 58.6% of rated voltage. Under these conditions, available starting torque drops to approximately 34.3% of rated torque, increasing the risk of stalled or prolonged motor acceleration.
From a system perspective, the voltage at the 34.5 kV PCC drops to near 23.79 kV, or 69% of rated voltage while the 12.47 kV Secondary bus drops to near 8.09 kV or 64.9% of nominal. This corresponds to voltage drops of approximately 31% at the PCC and 35.1% at the secondary bus. Typical performance objectives require motor bus voltage no lower than 90% of nominal and primary voltage near 96%.  When these objectives are not met, alternate starting methods are usually considered.</v>
      </c>
      <c r="DX60" s="35"/>
      <c r="DY60" s="36"/>
      <c r="DZ60" s="36"/>
      <c r="EA60" s="37"/>
      <c r="HL60" s="115"/>
      <c r="HM60" s="115"/>
      <c r="HN60" s="115"/>
      <c r="HO60" s="115"/>
      <c r="HP60" s="115"/>
      <c r="HQ60" s="115"/>
      <c r="HR60" s="115"/>
      <c r="HS60" s="115"/>
      <c r="HT60" s="115"/>
      <c r="HU60" s="115"/>
      <c r="HV60" s="115"/>
      <c r="HW60" s="115"/>
      <c r="HX60" s="115"/>
      <c r="HY60" s="115"/>
      <c r="HZ60" s="116"/>
      <c r="IA60" s="116"/>
      <c r="IB60" s="116"/>
      <c r="IC60" s="116"/>
    </row>
    <row r="61" spans="2:237" ht="18" customHeight="1" x14ac:dyDescent="0.25">
      <c r="B61" s="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9"/>
      <c r="AR61" s="7"/>
      <c r="CF61" s="9"/>
      <c r="DX61" s="35"/>
      <c r="DY61" s="36"/>
      <c r="DZ61" s="36"/>
      <c r="EA61" s="37"/>
    </row>
    <row r="62" spans="2:237" ht="18" customHeight="1" x14ac:dyDescent="0.25">
      <c r="B62" s="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9"/>
      <c r="AR62" s="7"/>
      <c r="CF62" s="9"/>
      <c r="DE62" s="1" t="s">
        <v>95</v>
      </c>
      <c r="DX62" s="35"/>
      <c r="DY62" s="36"/>
      <c r="DZ62" s="36"/>
      <c r="EA62" s="37"/>
    </row>
    <row r="63" spans="2:237" ht="18" customHeight="1" x14ac:dyDescent="0.25">
      <c r="B63" s="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9"/>
      <c r="AR63" s="7"/>
      <c r="CF63" s="9"/>
      <c r="DE63" s="48" t="str">
        <f>"With the MotorVAR system engaged and the RVSS out of service or bypassed, the motor starting performance improves significantly. Motor starting current increases to approximately "&amp;ROUND(ER11,1)&amp;" amps ("&amp;ROUND(ER12*100,1)&amp;"% of FLA), while motor terminal voltage is maintained near "&amp;ROUND(ER15/1000,1)&amp;" kV, or "&amp;ROUND(ER16*100,1)&amp;"% of rated voltage. This allows the motor to develop approximately "&amp;ROUND(ER13*100,1)&amp;"% of rated torque during starting, resulting in stronger acceleration and improved starting stability. 
System voltage performance is also significantly improved. Voltage at the "&amp;ROUND(P22,1)&amp;"kV PCC and the "&amp;ROUND(P27,1)&amp;"kV secondary bus are maintained at approximately "&amp;ROUND(BP22*100,1)&amp;"% and "&amp;ROUND(BP26*100,1)&amp;"% of nominal, respectively. The starting current reflected into the "&amp;ROUND(P22,1)&amp;"kV and "&amp;ROUND(P27,1)&amp;"kV systems is reduced to approximately "&amp;ROUND(BX32*100,1)&amp;" %FLA, substantially mitigating upstream system disturbances. As the motor transitions into synchronism, the "&amp;ROUND(P45,1)&amp;" stage MotorVAR system limits the voltage fluctuations to approximately "&amp;BS33&amp;" of the nominal voltage at the "&amp;ROUND(P27,1)&amp;"kV bus."</f>
        <v>With the MotorVAR system engaged and the RVSS out of service or bypassed, the motor starting performance improves significantly. Motor starting current increases to approximately 1312.3 amps (372.9% of FLA), while motor terminal voltage is maintained near 10.3 kV, or 74.6% of rated voltage. This allows the motor to develop approximately 55.6% of rated torque during starting, resulting in stronger acceleration and improved starting stability. 
System voltage performance is also significantly improved. Voltage at the 34.5kV PCC and the 12.5kV secondary bus are maintained at approximately 84.5% and 82.5% of nominal, respectively. The starting current reflected into the 34.5kV and 12.5kV systems is reduced to approximately 68.5 %FLA, substantially mitigating upstream system disturbances. As the motor transitions into synchronism, the 3 stage MotorVAR system limits the voltage fluctuations to approximately ±5.59% of the nominal voltage at the 12.5kV bus.</v>
      </c>
      <c r="DX63" s="35"/>
      <c r="DY63" s="36"/>
      <c r="DZ63" s="36"/>
      <c r="EA63" s="37"/>
    </row>
    <row r="64" spans="2:237" ht="18" customHeight="1" x14ac:dyDescent="0.25">
      <c r="B64" s="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9"/>
      <c r="AR64" s="7"/>
      <c r="CF64" s="9"/>
      <c r="DE64" s="48" t="s">
        <v>183</v>
      </c>
      <c r="DX64" s="35"/>
      <c r="DY64" s="36"/>
      <c r="DZ64" s="36"/>
      <c r="EA64" s="37"/>
    </row>
    <row r="65" spans="2:151" ht="18" customHeight="1" x14ac:dyDescent="0.3">
      <c r="B65" s="7"/>
      <c r="C65" s="28" t="s">
        <v>185</v>
      </c>
      <c r="AP65" s="9"/>
      <c r="AR65" s="7"/>
      <c r="CF65" s="9"/>
      <c r="DE65" s="1" t="str">
        <f>"When adding a coordinated RVSS, the combined MotorVAR + RVSS system provides additional improvement in overall system performance compared to a MotorVAR-only solution. During motor starting, the "&amp;P22&amp;" kV bus voltage improves from approxmately "&amp;ROUND(BP22*100,1)&amp;"% to "&amp;ROUND(BX22*100,1)&amp;"% of nominal, while the "&amp;P27&amp;"kV bus voltage improves from approximately "&amp;ROUND(BP26*100,1)&amp;"% to "&amp;ROUND(BX26*100,1)&amp;"%.
This improvement is driven by the RVSS current-limiting function, set to "&amp;P39&amp;"% of motor FLA. While current limiting improves voltage performance, it also reduces the current delivered to the motor and, consequently, the available starting torque. In this case, motor starting torque is reduced from "&amp;ROUND(BP15*100,1)&amp;"% with MotorVAR only to approximately "&amp;ROUND(BX15*100,1)&amp;"% with the combined MotorVAR + RVSS system.
It is therefore critical to verify that the available starting torque remains sufficient to accelerate the driven load under all expected starting conditions."</f>
        <v>When adding a coordinated RVSS, the combined MotorVAR + RVSS system provides additional improvement in overall system performance compared to a MotorVAR-only solution. During motor starting, the 34.5 kV bus voltage improves from approxmately 84.5% to 103.9% of nominal, while the 12.47kV bus voltage improves from approximately 82.5% to 104.5%.
This improvement is driven by the RVSS current-limiting function, set to 250% of motor FLA. While current limiting improves voltage performance, it also reduces the current delivered to the motor and, consequently, the available starting torque. In this case, motor starting torque is reduced from 55.6% with MotorVAR only to approximately 25% with the combined MotorVAR + RVSS system.
It is therefore critical to verify that the available starting torque remains sufficient to accelerate the driven load under all expected starting conditions.</v>
      </c>
    </row>
    <row r="66" spans="2:151" ht="18" customHeight="1" x14ac:dyDescent="0.25">
      <c r="B66" s="7"/>
      <c r="AP66" s="9"/>
      <c r="AR66" s="7"/>
      <c r="CF66" s="9"/>
    </row>
    <row r="67" spans="2:151" ht="18" customHeight="1" x14ac:dyDescent="0.25">
      <c r="B67" s="7"/>
      <c r="AP67" s="9"/>
      <c r="AR67" s="7"/>
      <c r="CF67" s="9"/>
      <c r="DB67" s="101" t="s">
        <v>17</v>
      </c>
      <c r="DC67" s="101"/>
      <c r="DD67" s="101"/>
      <c r="DE67" s="101"/>
      <c r="DF67" s="101"/>
      <c r="DG67" s="101"/>
      <c r="DH67" s="101"/>
      <c r="DI67" s="101"/>
      <c r="DJ67" s="101"/>
      <c r="DK67" s="101"/>
      <c r="DL67" s="101"/>
      <c r="DM67" s="101"/>
      <c r="DN67" s="101"/>
      <c r="DO67" s="101"/>
      <c r="DP67" s="101"/>
      <c r="DQ67" s="101"/>
      <c r="DR67" s="101" t="s">
        <v>97</v>
      </c>
      <c r="DS67" s="101"/>
      <c r="DT67" s="101"/>
      <c r="DU67" s="101"/>
      <c r="DV67" s="101"/>
      <c r="DW67" s="101"/>
      <c r="DX67" s="101"/>
      <c r="DY67" s="101"/>
      <c r="DZ67" s="101"/>
      <c r="EA67" s="101" t="s">
        <v>98</v>
      </c>
      <c r="EB67" s="101"/>
      <c r="EC67" s="101"/>
      <c r="ED67" s="101"/>
      <c r="EE67" s="101"/>
      <c r="EF67" s="101"/>
      <c r="EG67" s="101"/>
      <c r="EH67" s="102" t="s">
        <v>200</v>
      </c>
      <c r="EI67" s="101"/>
      <c r="EJ67" s="101"/>
      <c r="EK67" s="101"/>
      <c r="EL67" s="101"/>
      <c r="EM67" s="101"/>
      <c r="EN67" s="101"/>
      <c r="EO67" s="101"/>
      <c r="EP67" s="101"/>
      <c r="EQ67" s="101"/>
      <c r="ER67" s="101"/>
      <c r="ES67" s="101"/>
      <c r="ET67" s="101"/>
      <c r="EU67" s="101"/>
    </row>
    <row r="68" spans="2:151" ht="18" customHeight="1" x14ac:dyDescent="0.25">
      <c r="B68" s="7"/>
      <c r="AP68" s="9"/>
      <c r="AR68" s="7"/>
      <c r="CF68" s="9"/>
      <c r="DB68" s="100" t="s">
        <v>99</v>
      </c>
      <c r="DC68" s="100"/>
      <c r="DD68" s="100"/>
      <c r="DE68" s="100"/>
      <c r="DF68" s="100"/>
      <c r="DG68" s="100"/>
      <c r="DH68" s="100"/>
      <c r="DI68" s="100"/>
      <c r="DJ68" s="100"/>
      <c r="DK68" s="100"/>
      <c r="DL68" s="100"/>
      <c r="DM68" s="100"/>
      <c r="DN68" s="100"/>
      <c r="DO68" s="100"/>
      <c r="DP68" s="100"/>
      <c r="DQ68" s="100"/>
      <c r="DR68" s="98">
        <f>BH12</f>
        <v>2.9300927298327646</v>
      </c>
      <c r="DS68" s="98"/>
      <c r="DT68" s="98"/>
      <c r="DU68" s="98"/>
      <c r="DV68" s="98"/>
      <c r="DW68" s="98"/>
      <c r="DX68" s="98"/>
      <c r="DY68" s="98"/>
      <c r="DZ68" s="98"/>
      <c r="EA68" s="98">
        <f>BP12</f>
        <v>3.729271936351152</v>
      </c>
      <c r="EB68" s="98"/>
      <c r="EC68" s="98"/>
      <c r="ED68" s="98"/>
      <c r="EE68" s="98"/>
      <c r="EF68" s="98"/>
      <c r="EG68" s="98"/>
      <c r="EH68" s="103">
        <f>BX12</f>
        <v>2.500005413117409</v>
      </c>
      <c r="EI68" s="103"/>
      <c r="EJ68" s="103"/>
      <c r="EK68" s="103"/>
      <c r="EL68" s="103"/>
      <c r="EM68" s="103"/>
      <c r="EN68" s="103"/>
      <c r="EO68" s="103"/>
      <c r="EP68" s="103"/>
      <c r="EQ68" s="103"/>
      <c r="ER68" s="103"/>
      <c r="ES68" s="103"/>
      <c r="ET68" s="103"/>
      <c r="EU68" s="103"/>
    </row>
    <row r="69" spans="2:151" ht="18" customHeight="1" x14ac:dyDescent="0.25">
      <c r="B69" s="7"/>
      <c r="AP69" s="9"/>
      <c r="AR69" s="7"/>
      <c r="CF69" s="9"/>
      <c r="DB69" s="100" t="s">
        <v>100</v>
      </c>
      <c r="DC69" s="100"/>
      <c r="DD69" s="100"/>
      <c r="DE69" s="100"/>
      <c r="DF69" s="100"/>
      <c r="DG69" s="100"/>
      <c r="DH69" s="100"/>
      <c r="DI69" s="100"/>
      <c r="DJ69" s="100"/>
      <c r="DK69" s="100"/>
      <c r="DL69" s="100"/>
      <c r="DM69" s="100"/>
      <c r="DN69" s="100"/>
      <c r="DO69" s="100"/>
      <c r="DP69" s="100"/>
      <c r="DQ69" s="100"/>
      <c r="DR69" s="98">
        <f>BH14</f>
        <v>0.58601854596655267</v>
      </c>
      <c r="DS69" s="98"/>
      <c r="DT69" s="98"/>
      <c r="DU69" s="98"/>
      <c r="DV69" s="98"/>
      <c r="DW69" s="98"/>
      <c r="DX69" s="98"/>
      <c r="DY69" s="98"/>
      <c r="DZ69" s="98"/>
      <c r="EA69" s="98">
        <f>BP14</f>
        <v>0.7458543872702289</v>
      </c>
      <c r="EB69" s="98"/>
      <c r="EC69" s="98"/>
      <c r="ED69" s="98"/>
      <c r="EE69" s="98"/>
      <c r="EF69" s="98"/>
      <c r="EG69" s="98"/>
      <c r="EH69" s="103">
        <f>BX14</f>
        <v>0.50000108262348264</v>
      </c>
      <c r="EI69" s="103"/>
      <c r="EJ69" s="103"/>
      <c r="EK69" s="103"/>
      <c r="EL69" s="103"/>
      <c r="EM69" s="103"/>
      <c r="EN69" s="103"/>
      <c r="EO69" s="103"/>
      <c r="EP69" s="103"/>
      <c r="EQ69" s="103"/>
      <c r="ER69" s="103"/>
      <c r="ES69" s="103"/>
      <c r="ET69" s="103"/>
      <c r="EU69" s="103"/>
    </row>
    <row r="70" spans="2:151" ht="18" customHeight="1" x14ac:dyDescent="0.25">
      <c r="B70" s="7"/>
      <c r="AP70" s="9"/>
      <c r="AR70" s="7"/>
      <c r="CF70" s="9"/>
      <c r="DB70" s="100" t="s">
        <v>101</v>
      </c>
      <c r="DC70" s="100"/>
      <c r="DD70" s="100"/>
      <c r="DE70" s="100"/>
      <c r="DF70" s="100"/>
      <c r="DG70" s="100"/>
      <c r="DH70" s="100"/>
      <c r="DI70" s="100"/>
      <c r="DJ70" s="100"/>
      <c r="DK70" s="100"/>
      <c r="DL70" s="100"/>
      <c r="DM70" s="100"/>
      <c r="DN70" s="100"/>
      <c r="DO70" s="100"/>
      <c r="DP70" s="100"/>
      <c r="DQ70" s="100"/>
      <c r="DR70" s="98">
        <f>BH15</f>
        <v>0.34341773621675287</v>
      </c>
      <c r="DS70" s="98"/>
      <c r="DT70" s="98"/>
      <c r="DU70" s="98"/>
      <c r="DV70" s="98"/>
      <c r="DW70" s="98"/>
      <c r="DX70" s="98"/>
      <c r="DY70" s="98"/>
      <c r="DZ70" s="98"/>
      <c r="EA70" s="98">
        <f>BP15</f>
        <v>0.55629876701025072</v>
      </c>
      <c r="EB70" s="98"/>
      <c r="EC70" s="98"/>
      <c r="ED70" s="98"/>
      <c r="EE70" s="98"/>
      <c r="EF70" s="98"/>
      <c r="EG70" s="98"/>
      <c r="EH70" s="103">
        <f>BX15</f>
        <v>0.25000108262465381</v>
      </c>
      <c r="EI70" s="103"/>
      <c r="EJ70" s="103"/>
      <c r="EK70" s="103"/>
      <c r="EL70" s="103"/>
      <c r="EM70" s="103"/>
      <c r="EN70" s="103"/>
      <c r="EO70" s="103"/>
      <c r="EP70" s="103"/>
      <c r="EQ70" s="103"/>
      <c r="ER70" s="103"/>
      <c r="ES70" s="103"/>
      <c r="ET70" s="103"/>
      <c r="EU70" s="103"/>
    </row>
    <row r="71" spans="2:151" ht="18" customHeight="1" x14ac:dyDescent="0.25">
      <c r="B71" s="7"/>
      <c r="AP71" s="9"/>
      <c r="AR71" s="7"/>
      <c r="CF71" s="9"/>
      <c r="DB71" s="100" t="str">
        <f>BF21</f>
        <v>Voltage at Primary (PCC) 34.5 kV Bus:</v>
      </c>
      <c r="DC71" s="100"/>
      <c r="DD71" s="100"/>
      <c r="DE71" s="100"/>
      <c r="DF71" s="100"/>
      <c r="DG71" s="100"/>
      <c r="DH71" s="100"/>
      <c r="DI71" s="100"/>
      <c r="DJ71" s="100"/>
      <c r="DK71" s="100"/>
      <c r="DL71" s="100"/>
      <c r="DM71" s="100"/>
      <c r="DN71" s="100"/>
      <c r="DO71" s="100"/>
      <c r="DP71" s="100"/>
      <c r="DQ71" s="100"/>
      <c r="DR71" s="98">
        <f>BH22</f>
        <v>0.68968652186701074</v>
      </c>
      <c r="DS71" s="98"/>
      <c r="DT71" s="98"/>
      <c r="DU71" s="98"/>
      <c r="DV71" s="98"/>
      <c r="DW71" s="98"/>
      <c r="DX71" s="98"/>
      <c r="DY71" s="98"/>
      <c r="DZ71" s="98"/>
      <c r="EA71" s="98">
        <f>BP22</f>
        <v>0.84502222536993143</v>
      </c>
      <c r="EB71" s="98"/>
      <c r="EC71" s="98"/>
      <c r="ED71" s="98"/>
      <c r="EE71" s="98"/>
      <c r="EF71" s="98"/>
      <c r="EG71" s="98"/>
      <c r="EH71" s="103">
        <f>BX22</f>
        <v>1.0393521703208808</v>
      </c>
      <c r="EI71" s="103"/>
      <c r="EJ71" s="103"/>
      <c r="EK71" s="103"/>
      <c r="EL71" s="103"/>
      <c r="EM71" s="103"/>
      <c r="EN71" s="103"/>
      <c r="EO71" s="103"/>
      <c r="EP71" s="103"/>
      <c r="EQ71" s="103"/>
      <c r="ER71" s="103"/>
      <c r="ES71" s="103"/>
      <c r="ET71" s="103"/>
      <c r="EU71" s="103"/>
    </row>
    <row r="72" spans="2:151" ht="18" customHeight="1" x14ac:dyDescent="0.25">
      <c r="B72" s="7"/>
      <c r="AP72" s="9"/>
      <c r="AR72" s="7"/>
      <c r="CF72" s="9"/>
      <c r="DB72" s="100" t="str">
        <f>BF25</f>
        <v>Voltage at Secondary 12.47 kV Bus:</v>
      </c>
      <c r="DC72" s="100"/>
      <c r="DD72" s="100"/>
      <c r="DE72" s="100"/>
      <c r="DF72" s="100"/>
      <c r="DG72" s="100"/>
      <c r="DH72" s="100"/>
      <c r="DI72" s="100"/>
      <c r="DJ72" s="100"/>
      <c r="DK72" s="100"/>
      <c r="DL72" s="100"/>
      <c r="DM72" s="100"/>
      <c r="DN72" s="100"/>
      <c r="DO72" s="100"/>
      <c r="DP72" s="100"/>
      <c r="DQ72" s="100"/>
      <c r="DR72" s="98">
        <f>BH26</f>
        <v>0.64852092496699487</v>
      </c>
      <c r="DS72" s="98"/>
      <c r="DT72" s="98"/>
      <c r="DU72" s="98"/>
      <c r="DV72" s="98"/>
      <c r="DW72" s="98"/>
      <c r="DX72" s="98"/>
      <c r="DY72" s="98"/>
      <c r="DZ72" s="98"/>
      <c r="EA72" s="98">
        <f>BP26</f>
        <v>0.82540421365911454</v>
      </c>
      <c r="EB72" s="98"/>
      <c r="EC72" s="98"/>
      <c r="ED72" s="98"/>
      <c r="EE72" s="98"/>
      <c r="EF72" s="98"/>
      <c r="EG72" s="98"/>
      <c r="EH72" s="103">
        <f>BX26</f>
        <v>1.0445765172089598</v>
      </c>
      <c r="EI72" s="103"/>
      <c r="EJ72" s="103"/>
      <c r="EK72" s="103"/>
      <c r="EL72" s="103"/>
      <c r="EM72" s="103"/>
      <c r="EN72" s="103"/>
      <c r="EO72" s="103"/>
      <c r="EP72" s="103"/>
      <c r="EQ72" s="103"/>
      <c r="ER72" s="103"/>
      <c r="ES72" s="103"/>
      <c r="ET72" s="103"/>
      <c r="EU72" s="103"/>
    </row>
    <row r="73" spans="2:151" ht="18" customHeight="1" x14ac:dyDescent="0.25">
      <c r="B73" s="7"/>
      <c r="AP73" s="9"/>
      <c r="AR73" s="7"/>
      <c r="BK73"/>
      <c r="CF73" s="9"/>
      <c r="DB73" s="100" t="s">
        <v>102</v>
      </c>
      <c r="DC73" s="100"/>
      <c r="DD73" s="100"/>
      <c r="DE73" s="100"/>
      <c r="DF73" s="100"/>
      <c r="DG73" s="100"/>
      <c r="DH73" s="100"/>
      <c r="DI73" s="100"/>
      <c r="DJ73" s="100"/>
      <c r="DK73" s="100"/>
      <c r="DL73" s="100"/>
      <c r="DM73" s="100"/>
      <c r="DN73" s="100"/>
      <c r="DO73" s="100"/>
      <c r="DP73" s="100"/>
      <c r="DQ73" s="100"/>
      <c r="DR73" s="98">
        <f>BH32</f>
        <v>2.9300927298327646</v>
      </c>
      <c r="DS73" s="98"/>
      <c r="DT73" s="98"/>
      <c r="DU73" s="98"/>
      <c r="DV73" s="98"/>
      <c r="DW73" s="98"/>
      <c r="DX73" s="98"/>
      <c r="DY73" s="98"/>
      <c r="DZ73" s="98"/>
      <c r="EA73" s="98">
        <f>BP32</f>
        <v>1.5413959136287245</v>
      </c>
      <c r="EB73" s="98"/>
      <c r="EC73" s="98"/>
      <c r="ED73" s="98"/>
      <c r="EE73" s="98"/>
      <c r="EF73" s="98"/>
      <c r="EG73" s="98"/>
      <c r="EH73" s="99">
        <f>BX32</f>
        <v>0.68455194944803022</v>
      </c>
      <c r="EI73" s="99"/>
      <c r="EJ73" s="99"/>
      <c r="EK73" s="99"/>
      <c r="EL73" s="99"/>
      <c r="EM73" s="99"/>
      <c r="EN73" s="99"/>
      <c r="EO73" s="99"/>
      <c r="EP73" s="99"/>
      <c r="EQ73" s="99"/>
      <c r="ER73" s="99"/>
      <c r="ES73" s="99"/>
      <c r="ET73" s="99"/>
      <c r="EU73" s="99"/>
    </row>
    <row r="74" spans="2:151" ht="18" customHeight="1" x14ac:dyDescent="0.25">
      <c r="B74" s="7"/>
      <c r="AP74" s="9"/>
      <c r="AR74" s="7"/>
      <c r="CF74" s="9"/>
    </row>
    <row r="75" spans="2:151" ht="18" customHeight="1" x14ac:dyDescent="0.3">
      <c r="B75" s="7"/>
      <c r="C75" s="28" t="s">
        <v>186</v>
      </c>
      <c r="AP75" s="9"/>
      <c r="AR75" s="7"/>
      <c r="CC75" s="54"/>
      <c r="CE75" s="54"/>
      <c r="CF75" s="9"/>
      <c r="DE75" s="50" t="str">
        <f>"| ✓ "&amp;TEXT(-1*(DR70-EA70)/DR70,"0%")&amp;" Higher Starting Torque"
&amp;CHAR(10)&amp;"| ✓ "&amp;TEXT((DR73-EA73)/DR73,"0%")&amp;" Lower System Inrush Current Reduction"</f>
        <v>| ✓ 62% Higher Starting Torque
| ✓ 47% Lower System Inrush Current Reduction</v>
      </c>
    </row>
    <row r="76" spans="2:151" ht="18" customHeight="1" x14ac:dyDescent="0.25">
      <c r="B76" s="7"/>
      <c r="AP76" s="9"/>
      <c r="AR76" s="7"/>
      <c r="CF76" s="9"/>
    </row>
    <row r="77" spans="2:151" ht="18" customHeight="1" x14ac:dyDescent="0.25">
      <c r="B77" s="7"/>
      <c r="AP77" s="9"/>
      <c r="AR77" s="7"/>
      <c r="CF77" s="9"/>
    </row>
    <row r="78" spans="2:151" ht="18" customHeight="1" x14ac:dyDescent="0.25">
      <c r="B78" s="7"/>
      <c r="AP78" s="9"/>
      <c r="AR78" s="7"/>
      <c r="CF78" s="9"/>
    </row>
    <row r="79" spans="2:151" ht="18" customHeight="1" x14ac:dyDescent="0.25">
      <c r="B79" s="7"/>
      <c r="AP79" s="9"/>
      <c r="AR79" s="7"/>
      <c r="CF79" s="9"/>
    </row>
    <row r="80" spans="2:151" ht="18" customHeight="1" x14ac:dyDescent="0.25">
      <c r="B80" s="7"/>
      <c r="AP80" s="9"/>
      <c r="AR80" s="7"/>
      <c r="CF80" s="9"/>
    </row>
    <row r="81" spans="2:84" ht="18" customHeight="1" x14ac:dyDescent="0.25">
      <c r="B81" s="7"/>
      <c r="AP81" s="9"/>
      <c r="AR81" s="7"/>
      <c r="CF81" s="9"/>
    </row>
    <row r="82" spans="2:84" ht="18" customHeight="1" x14ac:dyDescent="0.25">
      <c r="B82" s="7"/>
      <c r="AP82" s="9"/>
      <c r="AR82" s="7"/>
      <c r="CF82" s="9"/>
    </row>
    <row r="83" spans="2:84" ht="18" customHeight="1" x14ac:dyDescent="0.25">
      <c r="B83" s="7"/>
      <c r="AP83" s="9"/>
      <c r="AR83" s="7"/>
      <c r="CF83" s="9"/>
    </row>
    <row r="84" spans="2:84" ht="18" customHeight="1" x14ac:dyDescent="0.25">
      <c r="B84" s="7"/>
      <c r="AP84" s="9"/>
      <c r="AR84" s="7"/>
      <c r="CF84" s="9"/>
    </row>
    <row r="85" spans="2:84" ht="18" customHeight="1" x14ac:dyDescent="0.3">
      <c r="B85" s="7"/>
      <c r="C85" s="28" t="s">
        <v>244</v>
      </c>
      <c r="AP85" s="9"/>
      <c r="AR85" s="7"/>
      <c r="CF85" s="9"/>
    </row>
    <row r="86" spans="2:84" ht="18" customHeight="1" x14ac:dyDescent="0.25">
      <c r="B86" s="7"/>
      <c r="AP86" s="9"/>
      <c r="AR86" s="7"/>
      <c r="CF86" s="9"/>
    </row>
    <row r="87" spans="2:84" ht="18" customHeight="1" x14ac:dyDescent="0.25">
      <c r="B87" s="7"/>
      <c r="AP87" s="9"/>
      <c r="AR87" s="7"/>
      <c r="CF87" s="9"/>
    </row>
    <row r="88" spans="2:84" ht="18" customHeight="1" x14ac:dyDescent="0.25">
      <c r="B88" s="7"/>
      <c r="AP88" s="9"/>
      <c r="AR88" s="7"/>
      <c r="CF88" s="9"/>
    </row>
    <row r="89" spans="2:84" ht="18" customHeight="1" x14ac:dyDescent="0.25">
      <c r="B89" s="7"/>
      <c r="AP89" s="9"/>
      <c r="AR89" s="7"/>
      <c r="CF89" s="9"/>
    </row>
    <row r="90" spans="2:84" ht="18" customHeight="1" x14ac:dyDescent="0.25">
      <c r="B90" s="7"/>
      <c r="AP90" s="9"/>
      <c r="AR90" s="7"/>
      <c r="CF90" s="9"/>
    </row>
    <row r="91" spans="2:84" ht="18" customHeight="1" x14ac:dyDescent="0.25">
      <c r="B91" s="7"/>
      <c r="AP91" s="9"/>
      <c r="AR91" s="7"/>
      <c r="CF91" s="9"/>
    </row>
    <row r="92" spans="2:84" ht="18" customHeight="1" x14ac:dyDescent="0.25">
      <c r="B92" s="7"/>
      <c r="AP92" s="9"/>
      <c r="AR92" s="7"/>
      <c r="CF92" s="9"/>
    </row>
    <row r="93" spans="2:84" ht="18" customHeight="1" x14ac:dyDescent="0.25">
      <c r="B93" s="7"/>
      <c r="AP93" s="9"/>
      <c r="AR93" s="7"/>
      <c r="CF93" s="9"/>
    </row>
    <row r="94" spans="2:84" ht="18" customHeight="1" x14ac:dyDescent="0.25">
      <c r="B94" s="7"/>
      <c r="AP94" s="9"/>
      <c r="AR94" s="7"/>
      <c r="CF94" s="9"/>
    </row>
    <row r="95" spans="2:84" ht="18" customHeight="1" x14ac:dyDescent="0.25">
      <c r="B95" s="7"/>
      <c r="AP95" s="9"/>
      <c r="AR95" s="7"/>
      <c r="CF95" s="9"/>
    </row>
    <row r="96" spans="2:84"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row>
    <row r="97" spans="2:84" ht="18" customHeight="1" x14ac:dyDescent="0.25">
      <c r="B97" s="7"/>
      <c r="D97" s="43" t="s">
        <v>86</v>
      </c>
      <c r="AO97" s="19" t="s">
        <v>105</v>
      </c>
      <c r="AP97" s="9"/>
      <c r="AR97" s="7"/>
      <c r="AT97" s="43" t="s">
        <v>86</v>
      </c>
      <c r="CE97" s="19" t="s">
        <v>106</v>
      </c>
      <c r="CF97" s="9"/>
    </row>
    <row r="98" spans="2:84" ht="18" customHeight="1" x14ac:dyDescent="0.25">
      <c r="B98" s="44"/>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6"/>
      <c r="AR98" s="44"/>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6"/>
    </row>
    <row r="99" spans="2:84" ht="18" customHeight="1" x14ac:dyDescent="0.25"/>
    <row r="100" spans="2:84" ht="18" customHeight="1" x14ac:dyDescent="0.25">
      <c r="B100" s="4"/>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6"/>
      <c r="AR100" s="4"/>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6"/>
    </row>
    <row r="101" spans="2:84" ht="18" customHeight="1" x14ac:dyDescent="0.25">
      <c r="B101" s="7"/>
      <c r="AN101" s="8"/>
      <c r="AP101" s="9"/>
      <c r="AR101" s="7"/>
      <c r="CD101" s="8"/>
      <c r="CF101" s="9"/>
    </row>
    <row r="102" spans="2:84" ht="18" customHeight="1" x14ac:dyDescent="0.25">
      <c r="B102" s="7"/>
      <c r="AN102" s="10"/>
      <c r="AP102" s="9"/>
      <c r="AR102" s="7"/>
      <c r="CD102" s="10"/>
      <c r="CF102" s="9"/>
    </row>
    <row r="103" spans="2:84" ht="18" customHeight="1" thickBot="1" x14ac:dyDescent="0.3">
      <c r="B103" s="7"/>
      <c r="C103" s="11" t="str">
        <f>C7</f>
        <v xml:space="preserve">MotorVAR™ SIZING TOOL - MOTOR START CAPACITOR BANK
MotorVAR + RVSS CONFIGURATION </v>
      </c>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2"/>
      <c r="AO103" s="11"/>
      <c r="AP103" s="9"/>
      <c r="AR103" s="7"/>
      <c r="AS103" s="11" t="str">
        <f>C7</f>
        <v xml:space="preserve">MotorVAR™ SIZING TOOL - MOTOR START CAPACITOR BANK
MotorVAR + RVSS CONFIGURATION </v>
      </c>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2"/>
      <c r="CE103" s="11"/>
      <c r="CF103" s="9"/>
    </row>
    <row r="104" spans="2:84" ht="18" customHeight="1" x14ac:dyDescent="0.25">
      <c r="B104" s="7"/>
      <c r="AP104" s="9"/>
      <c r="AR104" s="7"/>
      <c r="CF104" s="9"/>
    </row>
    <row r="105" spans="2:84" ht="18" customHeight="1" x14ac:dyDescent="0.3">
      <c r="B105" s="7"/>
      <c r="C105" s="28" t="s">
        <v>187</v>
      </c>
      <c r="AP105" s="9"/>
      <c r="AR105" s="7"/>
      <c r="AS105" s="95" t="s">
        <v>190</v>
      </c>
      <c r="AT105" s="95"/>
      <c r="AU105" s="95"/>
      <c r="AV105" s="95"/>
      <c r="AW105" s="95"/>
      <c r="AX105" s="95"/>
      <c r="AY105" s="95"/>
      <c r="AZ105" s="95"/>
      <c r="BA105" s="95"/>
      <c r="BB105" s="95"/>
      <c r="BC105" s="95"/>
      <c r="BD105" s="95"/>
      <c r="BE105" s="95"/>
      <c r="BF105" s="95"/>
      <c r="BG105" s="95"/>
      <c r="BH105" s="95"/>
      <c r="BI105" s="95"/>
      <c r="BJ105" s="95"/>
      <c r="BK105" s="95"/>
      <c r="BL105" s="95"/>
      <c r="BM105" s="95"/>
      <c r="BN105" s="95"/>
      <c r="BO105" s="95"/>
      <c r="BP105" s="95"/>
      <c r="BQ105" s="95"/>
      <c r="BR105" s="95"/>
      <c r="BS105" s="95"/>
      <c r="BT105" s="95"/>
      <c r="BU105" s="95"/>
      <c r="BV105" s="95"/>
      <c r="BW105" s="95"/>
      <c r="BX105" s="95"/>
      <c r="BY105" s="95"/>
      <c r="BZ105" s="95"/>
      <c r="CA105" s="95"/>
      <c r="CB105" s="95"/>
      <c r="CC105" s="95"/>
      <c r="CD105" s="95"/>
      <c r="CE105" s="95"/>
      <c r="CF105" s="9"/>
    </row>
    <row r="106" spans="2:84" ht="18" customHeight="1" x14ac:dyDescent="0.25">
      <c r="B106" s="7"/>
      <c r="Z106" s="89"/>
      <c r="AA106" s="89"/>
      <c r="AB106" s="89"/>
      <c r="AC106" s="89"/>
      <c r="AD106" s="89"/>
      <c r="AE106" s="89"/>
      <c r="AF106" s="89"/>
      <c r="AG106" s="89"/>
      <c r="AH106" s="89"/>
      <c r="AI106" s="89"/>
      <c r="AJ106" s="89"/>
      <c r="AK106" s="89"/>
      <c r="AL106" s="89"/>
      <c r="AM106" s="89"/>
      <c r="AN106" s="89"/>
      <c r="AO106" s="89"/>
      <c r="AP106" s="90"/>
      <c r="AR106" s="7"/>
      <c r="AS106" s="95"/>
      <c r="AT106" s="95"/>
      <c r="AU106" s="95"/>
      <c r="AV106" s="95"/>
      <c r="AW106" s="95"/>
      <c r="AX106" s="95"/>
      <c r="AY106" s="95"/>
      <c r="AZ106" s="95"/>
      <c r="BA106" s="95"/>
      <c r="BB106" s="95"/>
      <c r="BC106" s="95"/>
      <c r="BD106" s="95"/>
      <c r="BE106" s="95"/>
      <c r="BF106" s="95"/>
      <c r="BG106" s="95"/>
      <c r="BH106" s="95"/>
      <c r="BI106" s="95"/>
      <c r="BJ106" s="95"/>
      <c r="BK106" s="95"/>
      <c r="BL106" s="95"/>
      <c r="BM106" s="95"/>
      <c r="BN106" s="95"/>
      <c r="BO106" s="95"/>
      <c r="BP106" s="95"/>
      <c r="BQ106" s="95"/>
      <c r="BR106" s="95"/>
      <c r="BS106" s="95"/>
      <c r="BT106" s="95"/>
      <c r="BU106" s="95"/>
      <c r="BV106" s="95"/>
      <c r="BW106" s="95"/>
      <c r="BX106" s="95"/>
      <c r="BY106" s="95"/>
      <c r="BZ106" s="95"/>
      <c r="CA106" s="95"/>
      <c r="CB106" s="95"/>
      <c r="CC106" s="95"/>
      <c r="CD106" s="95"/>
      <c r="CE106" s="95"/>
      <c r="CF106" s="9"/>
    </row>
    <row r="107" spans="2:84" ht="18" customHeight="1" x14ac:dyDescent="0.3">
      <c r="B107" s="7"/>
      <c r="Z107" s="89"/>
      <c r="AA107" s="89"/>
      <c r="AB107" s="89"/>
      <c r="AC107" s="89"/>
      <c r="AD107" s="89"/>
      <c r="AE107" s="89"/>
      <c r="AF107" s="89"/>
      <c r="AG107" s="89"/>
      <c r="AH107" s="89"/>
      <c r="AI107" s="89"/>
      <c r="AJ107" s="89"/>
      <c r="AK107" s="89"/>
      <c r="AL107" s="89"/>
      <c r="AM107" s="89"/>
      <c r="AN107" s="89"/>
      <c r="AO107" s="89"/>
      <c r="AP107" s="90"/>
      <c r="AR107" s="7"/>
      <c r="AS107" s="28" t="s">
        <v>191</v>
      </c>
      <c r="CF107" s="9"/>
    </row>
    <row r="108" spans="2:84" ht="18" customHeight="1" x14ac:dyDescent="0.25">
      <c r="B108" s="7"/>
      <c r="Z108" s="89"/>
      <c r="AA108" s="89"/>
      <c r="AB108" s="89"/>
      <c r="AC108" s="89"/>
      <c r="AD108" s="89"/>
      <c r="AE108" s="89"/>
      <c r="AF108" s="89"/>
      <c r="AG108" s="89"/>
      <c r="AH108" s="89"/>
      <c r="AI108" s="89"/>
      <c r="AJ108" s="89"/>
      <c r="AK108" s="89"/>
      <c r="AL108" s="89"/>
      <c r="AM108" s="89"/>
      <c r="AN108" s="89"/>
      <c r="AO108" s="89"/>
      <c r="AP108" s="90"/>
      <c r="AR108" s="7"/>
      <c r="CF108" s="9"/>
    </row>
    <row r="109" spans="2:84" ht="18" customHeight="1" x14ac:dyDescent="0.25">
      <c r="B109" s="7"/>
      <c r="Z109" s="89"/>
      <c r="AA109" s="89"/>
      <c r="AB109" s="89"/>
      <c r="AC109" s="89"/>
      <c r="AD109" s="89"/>
      <c r="AE109" s="89"/>
      <c r="AF109" s="89"/>
      <c r="AG109" s="89"/>
      <c r="AH109" s="89"/>
      <c r="AI109" s="89"/>
      <c r="AJ109" s="89"/>
      <c r="AK109" s="89"/>
      <c r="AL109" s="89"/>
      <c r="AM109" s="89"/>
      <c r="AN109" s="89"/>
      <c r="AO109" s="89"/>
      <c r="AP109" s="90"/>
      <c r="AR109" s="7"/>
      <c r="CF109" s="9"/>
    </row>
    <row r="110" spans="2:84" ht="18" customHeight="1" x14ac:dyDescent="0.25">
      <c r="B110" s="7"/>
      <c r="Z110" s="89"/>
      <c r="AA110" s="89"/>
      <c r="AB110" s="89"/>
      <c r="AC110" s="89"/>
      <c r="AD110" s="89"/>
      <c r="AE110" s="89"/>
      <c r="AF110" s="89"/>
      <c r="AG110" s="89"/>
      <c r="AH110" s="89"/>
      <c r="AI110" s="89"/>
      <c r="AJ110" s="89"/>
      <c r="AK110" s="89"/>
      <c r="AL110" s="89"/>
      <c r="AM110" s="89"/>
      <c r="AN110" s="89"/>
      <c r="AO110" s="89"/>
      <c r="AP110" s="90"/>
      <c r="AR110" s="7"/>
      <c r="CF110" s="9"/>
    </row>
    <row r="111" spans="2:84" ht="18" customHeight="1" x14ac:dyDescent="0.25">
      <c r="B111" s="7"/>
      <c r="Z111" s="89"/>
      <c r="AA111" s="89"/>
      <c r="AB111" s="89"/>
      <c r="AC111" s="89"/>
      <c r="AD111" s="89"/>
      <c r="AE111" s="89"/>
      <c r="AF111" s="89"/>
      <c r="AG111" s="89"/>
      <c r="AH111" s="89"/>
      <c r="AI111" s="89"/>
      <c r="AJ111" s="89"/>
      <c r="AK111" s="89"/>
      <c r="AL111" s="89"/>
      <c r="AM111" s="89"/>
      <c r="AN111" s="89"/>
      <c r="AO111" s="89"/>
      <c r="AP111" s="90"/>
      <c r="AR111" s="7"/>
      <c r="CF111" s="9"/>
    </row>
    <row r="112" spans="2:84" ht="18" customHeight="1" x14ac:dyDescent="0.25">
      <c r="B112" s="7"/>
      <c r="Z112" s="89"/>
      <c r="AA112" s="89"/>
      <c r="AB112" s="89"/>
      <c r="AC112" s="89"/>
      <c r="AD112" s="89"/>
      <c r="AE112" s="89"/>
      <c r="AF112" s="89"/>
      <c r="AG112" s="89"/>
      <c r="AH112" s="89"/>
      <c r="AI112" s="89"/>
      <c r="AJ112" s="89"/>
      <c r="AK112" s="89"/>
      <c r="AL112" s="89"/>
      <c r="AM112" s="89"/>
      <c r="AN112" s="89"/>
      <c r="AO112" s="89"/>
      <c r="AP112" s="90"/>
      <c r="AR112" s="7"/>
      <c r="CF112" s="9"/>
    </row>
    <row r="113" spans="2:84" ht="18" customHeight="1" x14ac:dyDescent="0.25">
      <c r="B113" s="7"/>
      <c r="O113" s="1" t="str">
        <f>"Isc: "&amp;P23&amp;"kA"</f>
        <v>Isc: 1.2kA</v>
      </c>
      <c r="Z113" s="89"/>
      <c r="AA113" s="89"/>
      <c r="AB113" s="89"/>
      <c r="AC113" s="89"/>
      <c r="AD113" s="89"/>
      <c r="AE113" s="89"/>
      <c r="AF113" s="89"/>
      <c r="AG113" s="89"/>
      <c r="AH113" s="89"/>
      <c r="AI113" s="89"/>
      <c r="AJ113" s="89"/>
      <c r="AK113" s="89"/>
      <c r="AL113" s="89"/>
      <c r="AM113" s="89"/>
      <c r="AN113" s="89"/>
      <c r="AO113" s="89"/>
      <c r="AP113" s="90"/>
      <c r="AR113" s="7"/>
      <c r="CF113" s="9"/>
    </row>
    <row r="114" spans="2:84" ht="18" customHeight="1" x14ac:dyDescent="0.25">
      <c r="B114" s="7"/>
      <c r="O114" s="1" t="str">
        <f>"X/R: "&amp;P24</f>
        <v>X/R: 7</v>
      </c>
      <c r="Z114" s="89"/>
      <c r="AA114" s="89"/>
      <c r="AB114" s="89"/>
      <c r="AC114" s="89"/>
      <c r="AD114" s="89"/>
      <c r="AE114" s="89"/>
      <c r="AF114" s="89"/>
      <c r="AG114" s="89"/>
      <c r="AH114" s="89"/>
      <c r="AI114" s="89"/>
      <c r="AJ114" s="89"/>
      <c r="AK114" s="89"/>
      <c r="AL114" s="89"/>
      <c r="AM114" s="89"/>
      <c r="AN114" s="89"/>
      <c r="AO114" s="89"/>
      <c r="AP114" s="90"/>
      <c r="AR114" s="7"/>
      <c r="CF114" s="9"/>
    </row>
    <row r="115" spans="2:84" ht="18" customHeight="1" x14ac:dyDescent="0.25">
      <c r="B115" s="7"/>
      <c r="I115" s="19" t="str">
        <f>P22&amp;"kV Bus"</f>
        <v>34.5kV Bus</v>
      </c>
      <c r="Z115" s="89"/>
      <c r="AA115" s="89"/>
      <c r="AB115" s="89"/>
      <c r="AC115" s="89"/>
      <c r="AD115" s="89"/>
      <c r="AE115" s="89"/>
      <c r="AF115" s="89"/>
      <c r="AG115" s="89"/>
      <c r="AH115" s="89"/>
      <c r="AI115" s="89"/>
      <c r="AJ115" s="89"/>
      <c r="AK115" s="89"/>
      <c r="AL115" s="89"/>
      <c r="AM115" s="89"/>
      <c r="AN115" s="89"/>
      <c r="AO115" s="89"/>
      <c r="AP115" s="90"/>
      <c r="AR115" s="7"/>
      <c r="CF115" s="9"/>
    </row>
    <row r="116" spans="2:84" ht="18" customHeight="1" x14ac:dyDescent="0.25">
      <c r="B116" s="7"/>
      <c r="AP116" s="9"/>
      <c r="AR116" s="7"/>
      <c r="CF116" s="9"/>
    </row>
    <row r="117" spans="2:84" ht="18" customHeight="1" x14ac:dyDescent="0.25">
      <c r="B117" s="7"/>
      <c r="F117" s="100" t="s">
        <v>224</v>
      </c>
      <c r="G117" s="100"/>
      <c r="H117" s="100"/>
      <c r="I117" s="100"/>
      <c r="J117" s="100"/>
      <c r="K117" s="100"/>
      <c r="P117" s="1" t="str">
        <f>P26&amp;" MVA"</f>
        <v>40 MVA</v>
      </c>
      <c r="AP117" s="9"/>
      <c r="AR117" s="7"/>
      <c r="CF117" s="9"/>
    </row>
    <row r="118" spans="2:84" ht="18" customHeight="1" x14ac:dyDescent="0.25">
      <c r="B118" s="7"/>
      <c r="F118" s="100" t="s">
        <v>225</v>
      </c>
      <c r="G118" s="100"/>
      <c r="H118" s="100"/>
      <c r="I118" s="100"/>
      <c r="J118" s="100"/>
      <c r="K118" s="100"/>
      <c r="P118" s="74" t="str">
        <f>P28&amp;"%" &amp;" X/R="&amp;P29</f>
        <v>7.5% X/R=28.65</v>
      </c>
      <c r="AP118" s="9"/>
      <c r="AR118" s="7"/>
      <c r="CF118" s="9"/>
    </row>
    <row r="119" spans="2:84" ht="18" customHeight="1" x14ac:dyDescent="0.25">
      <c r="B119" s="7"/>
      <c r="AP119" s="9"/>
      <c r="AR119" s="7"/>
      <c r="CF119" s="9"/>
    </row>
    <row r="120" spans="2:84" ht="18" customHeight="1" x14ac:dyDescent="0.25">
      <c r="B120" s="7"/>
      <c r="G120" s="19" t="str">
        <f>P27&amp;"kV Bus"</f>
        <v>12.47kV Bus</v>
      </c>
      <c r="AP120" s="9"/>
      <c r="AR120" s="7"/>
      <c r="CF120" s="9"/>
    </row>
    <row r="121" spans="2:84" ht="18" customHeight="1" x14ac:dyDescent="0.25">
      <c r="B121" s="7"/>
      <c r="AP121" s="9"/>
      <c r="AR121" s="7"/>
      <c r="CF121" s="9"/>
    </row>
    <row r="122" spans="2:84" ht="18" customHeight="1" x14ac:dyDescent="0.25">
      <c r="B122" s="7"/>
      <c r="AP122" s="9"/>
      <c r="AR122" s="7"/>
      <c r="CF122" s="9"/>
    </row>
    <row r="123" spans="2:84" ht="18" customHeight="1" x14ac:dyDescent="0.25">
      <c r="B123" s="7"/>
      <c r="AP123" s="9"/>
      <c r="AR123" s="7"/>
      <c r="CF123" s="9"/>
    </row>
    <row r="124" spans="2:84" ht="18" customHeight="1" x14ac:dyDescent="0.25">
      <c r="B124" s="7"/>
      <c r="AP124" s="9"/>
      <c r="AR124" s="7"/>
      <c r="CF124" s="9"/>
    </row>
    <row r="125" spans="2:84" ht="18" customHeight="1" x14ac:dyDescent="0.25">
      <c r="B125" s="7"/>
      <c r="AP125" s="9"/>
      <c r="AR125" s="7"/>
      <c r="CF125" s="9"/>
    </row>
    <row r="126" spans="2:84" ht="18" customHeight="1" x14ac:dyDescent="0.25">
      <c r="B126" s="7"/>
      <c r="AP126" s="9"/>
      <c r="AR126" s="7"/>
      <c r="CF126" s="9"/>
    </row>
    <row r="127" spans="2:84" ht="18" customHeight="1" x14ac:dyDescent="0.25">
      <c r="B127" s="7"/>
      <c r="AP127" s="9"/>
      <c r="AR127" s="7"/>
      <c r="CF127" s="9"/>
    </row>
    <row r="128" spans="2:84" ht="18" customHeight="1" x14ac:dyDescent="0.25">
      <c r="B128" s="7"/>
      <c r="AP128" s="9"/>
      <c r="AR128" s="7"/>
      <c r="CF128" s="9"/>
    </row>
    <row r="129" spans="2:84" ht="18" customHeight="1" x14ac:dyDescent="0.25">
      <c r="B129" s="7"/>
      <c r="AP129" s="9"/>
      <c r="AR129" s="7"/>
      <c r="CF129" s="9"/>
    </row>
    <row r="130" spans="2:84" ht="18" customHeight="1" x14ac:dyDescent="0.25">
      <c r="B130" s="7"/>
      <c r="AP130" s="9"/>
      <c r="AR130" s="7"/>
      <c r="CF130" s="9"/>
    </row>
    <row r="131" spans="2:84" ht="18" customHeight="1" x14ac:dyDescent="0.25">
      <c r="B131" s="7"/>
      <c r="S131" s="100" t="str">
        <f>TEXT(P32,"#,##0") &amp;"HP, "&amp;P43&amp;"kV"</f>
        <v>10,000HP, 12.47kV</v>
      </c>
      <c r="T131" s="100"/>
      <c r="U131" s="100"/>
      <c r="V131" s="100"/>
      <c r="W131" s="100"/>
      <c r="X131" s="100"/>
      <c r="AP131" s="9"/>
      <c r="AR131" s="7"/>
      <c r="CF131" s="9"/>
    </row>
    <row r="132" spans="2:84" ht="18" customHeight="1" x14ac:dyDescent="0.25">
      <c r="B132" s="7"/>
      <c r="S132" s="100" t="str">
        <f>"LRA: "&amp;P36&amp;"%"</f>
        <v>LRA: 500%</v>
      </c>
      <c r="T132" s="100"/>
      <c r="U132" s="100"/>
      <c r="V132" s="100"/>
      <c r="W132" s="100"/>
      <c r="X132" s="100"/>
      <c r="AP132" s="9"/>
      <c r="AR132" s="7"/>
      <c r="CF132" s="9"/>
    </row>
    <row r="133" spans="2:84" ht="18" customHeight="1" x14ac:dyDescent="0.3">
      <c r="B133" s="7"/>
      <c r="S133" s="100" t="str">
        <f>"FLA: "&amp;P33&amp;"A"</f>
        <v>FLA: 351.9A</v>
      </c>
      <c r="T133" s="100"/>
      <c r="U133" s="100"/>
      <c r="V133" s="100"/>
      <c r="W133" s="100"/>
      <c r="X133" s="100"/>
      <c r="AP133" s="9"/>
      <c r="AR133" s="7"/>
      <c r="AS133" s="28" t="s">
        <v>192</v>
      </c>
      <c r="CF133" s="9"/>
    </row>
    <row r="134" spans="2:84" ht="18" customHeight="1" x14ac:dyDescent="0.25">
      <c r="B134" s="7"/>
      <c r="AP134" s="9"/>
      <c r="AR134" s="7"/>
      <c r="CF134" s="9"/>
    </row>
    <row r="135" spans="2:84" ht="18" customHeight="1" x14ac:dyDescent="0.25">
      <c r="B135" s="7"/>
      <c r="X135" s="86" t="str">
        <f>"Voltage change per stage at the "&amp;P27&amp;" kV Bus:"</f>
        <v>Voltage change per stage at the 12.47 kV Bus:</v>
      </c>
      <c r="Y135" s="31"/>
      <c r="Z135" s="31"/>
      <c r="AA135" s="31"/>
      <c r="AB135" s="31"/>
      <c r="AC135" s="31"/>
      <c r="AD135" s="31"/>
      <c r="AE135" s="31"/>
      <c r="AF135" s="31"/>
      <c r="AG135" s="31"/>
      <c r="AH135" s="31"/>
      <c r="AI135" s="31"/>
      <c r="AJ135" s="31"/>
      <c r="AK135" s="31"/>
      <c r="AL135" s="31"/>
      <c r="AM135" s="31"/>
      <c r="AN135" s="86" t="str">
        <f>"±"&amp;ROUND((100*P44/P45)/DN50/2,2)&amp;"%"</f>
        <v>±5.59%</v>
      </c>
      <c r="AP135" s="9"/>
      <c r="AR135" s="7"/>
      <c r="CF135" s="9"/>
    </row>
    <row r="136" spans="2:84" ht="18" customHeight="1" x14ac:dyDescent="0.25">
      <c r="B136" s="7"/>
      <c r="AP136" s="9"/>
      <c r="AR136" s="7"/>
      <c r="CF136" s="9"/>
    </row>
    <row r="137" spans="2:84" ht="18" customHeight="1" thickBot="1" x14ac:dyDescent="0.3">
      <c r="B137" s="7"/>
      <c r="Y137" s="166" t="s">
        <v>213</v>
      </c>
      <c r="Z137" s="166"/>
      <c r="AA137" s="166"/>
      <c r="AB137" s="166"/>
      <c r="AC137" s="166"/>
      <c r="AD137" s="166"/>
      <c r="AE137" s="166"/>
      <c r="AF137" s="166"/>
      <c r="AG137" s="166"/>
      <c r="AH137" s="166"/>
      <c r="AI137" s="166"/>
      <c r="AJ137" s="166"/>
      <c r="AK137" s="166"/>
      <c r="AL137" s="166"/>
      <c r="AM137" s="166"/>
      <c r="AP137" s="9"/>
      <c r="AR137" s="7"/>
      <c r="CF137" s="9"/>
    </row>
    <row r="138" spans="2:84" ht="18" customHeight="1" x14ac:dyDescent="0.25">
      <c r="B138" s="7"/>
      <c r="E138" s="101" t="s">
        <v>212</v>
      </c>
      <c r="F138" s="101"/>
      <c r="G138" s="101"/>
      <c r="H138" s="101"/>
      <c r="I138" s="101"/>
      <c r="J138" s="101"/>
      <c r="K138" s="101"/>
      <c r="L138" s="101"/>
      <c r="Y138" s="76" t="s">
        <v>214</v>
      </c>
      <c r="Z138" s="76"/>
      <c r="AA138" s="76"/>
      <c r="AB138" s="76"/>
      <c r="AC138" s="76"/>
      <c r="AD138" s="76"/>
      <c r="AE138" s="76"/>
      <c r="AF138" s="76"/>
      <c r="AG138" s="76"/>
      <c r="AH138" s="76"/>
      <c r="AI138" s="76"/>
      <c r="AJ138" s="76"/>
      <c r="AK138" s="76"/>
      <c r="AL138" s="76"/>
      <c r="AP138" s="9"/>
      <c r="AR138" s="7"/>
      <c r="CF138" s="9"/>
    </row>
    <row r="139" spans="2:84" ht="18" customHeight="1" x14ac:dyDescent="0.25">
      <c r="B139" s="7"/>
      <c r="E139" s="100" t="str">
        <f>P43&amp;"KV, "&amp;P44&amp;" MVAR"</f>
        <v>12.47KV, 21.2 MVAR</v>
      </c>
      <c r="F139" s="100"/>
      <c r="G139" s="100"/>
      <c r="H139" s="100"/>
      <c r="I139" s="100"/>
      <c r="J139" s="100"/>
      <c r="K139" s="100"/>
      <c r="L139" s="100"/>
      <c r="Y139" s="86" t="s">
        <v>227</v>
      </c>
      <c r="Z139" s="86"/>
      <c r="AA139" s="86"/>
      <c r="AB139" s="86"/>
      <c r="AC139" s="86"/>
      <c r="AD139" s="86"/>
      <c r="AE139" s="86"/>
      <c r="AF139" s="86"/>
      <c r="AG139" s="86"/>
      <c r="AH139" s="86"/>
      <c r="AI139" s="86"/>
      <c r="AJ139" s="86"/>
      <c r="AK139" s="86"/>
      <c r="AL139" s="86"/>
      <c r="AM139" s="31"/>
      <c r="AP139" s="9"/>
      <c r="AR139" s="7"/>
      <c r="CF139" s="9"/>
    </row>
    <row r="140" spans="2:84" ht="18" customHeight="1" x14ac:dyDescent="0.25">
      <c r="B140" s="7"/>
      <c r="E140" s="100" t="str">
        <f>P45&amp;" Stage MotorVAR"</f>
        <v>3 Stage MotorVAR</v>
      </c>
      <c r="F140" s="100"/>
      <c r="G140" s="100"/>
      <c r="H140" s="100"/>
      <c r="I140" s="100"/>
      <c r="J140" s="100"/>
      <c r="K140" s="100"/>
      <c r="L140" s="100"/>
      <c r="Y140" s="75" t="s">
        <v>226</v>
      </c>
      <c r="Z140" s="75"/>
      <c r="AA140" s="75"/>
      <c r="AB140" s="75"/>
      <c r="AC140" s="75"/>
      <c r="AD140" s="75"/>
      <c r="AE140" s="75"/>
      <c r="AF140" s="75"/>
      <c r="AG140" s="75"/>
      <c r="AH140" s="75"/>
      <c r="AI140" s="75"/>
      <c r="AJ140" s="75"/>
      <c r="AK140" s="75"/>
      <c r="AL140" s="75"/>
      <c r="AP140" s="9"/>
      <c r="AR140" s="7"/>
      <c r="CF140" s="9"/>
    </row>
    <row r="141" spans="2:84" ht="18" customHeight="1" x14ac:dyDescent="0.25">
      <c r="B141" s="7"/>
      <c r="AP141" s="9"/>
      <c r="AR141" s="7"/>
      <c r="CF141" s="9"/>
    </row>
    <row r="142" spans="2:84" ht="18" customHeight="1" x14ac:dyDescent="0.25">
      <c r="B142" s="7"/>
      <c r="AP142" s="9"/>
      <c r="AR142" s="7"/>
      <c r="CF142" s="9"/>
    </row>
    <row r="143" spans="2:84" ht="18" customHeight="1" x14ac:dyDescent="0.25">
      <c r="B143" s="7"/>
      <c r="AP143" s="9"/>
      <c r="AR143" s="7"/>
      <c r="CF143" s="9"/>
    </row>
    <row r="144" spans="2:84" ht="18" customHeight="1" x14ac:dyDescent="0.25">
      <c r="B144" s="7"/>
      <c r="AP144" s="9"/>
      <c r="AR144" s="7"/>
      <c r="CF144" s="9"/>
    </row>
    <row r="145" spans="2:84" ht="18" customHeight="1" thickBot="1" x14ac:dyDescent="0.3">
      <c r="B145" s="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2"/>
      <c r="AP145" s="9"/>
      <c r="AR145" s="7"/>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2"/>
      <c r="CF145" s="9"/>
    </row>
    <row r="146" spans="2:84" ht="18" customHeight="1" x14ac:dyDescent="0.25">
      <c r="B146" s="7"/>
      <c r="D146" s="43" t="s">
        <v>86</v>
      </c>
      <c r="AO146" s="19" t="s">
        <v>107</v>
      </c>
      <c r="AP146" s="9"/>
      <c r="AR146" s="7"/>
      <c r="AT146" s="43" t="s">
        <v>86</v>
      </c>
      <c r="CE146" s="19" t="s">
        <v>108</v>
      </c>
      <c r="CF146" s="9"/>
    </row>
    <row r="147" spans="2:84" ht="18" customHeight="1" x14ac:dyDescent="0.25">
      <c r="B147" s="44"/>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6"/>
      <c r="AR147" s="44"/>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6"/>
    </row>
    <row r="148" spans="2:84" ht="18" customHeight="1" x14ac:dyDescent="0.25"/>
    <row r="149" spans="2:84" ht="18" customHeight="1" x14ac:dyDescent="0.25">
      <c r="B149" s="4"/>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6"/>
      <c r="AR149" s="4"/>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6"/>
    </row>
    <row r="150" spans="2:84" ht="18" customHeight="1" x14ac:dyDescent="0.25">
      <c r="B150" s="7"/>
      <c r="AN150" s="8"/>
      <c r="AP150" s="9"/>
      <c r="AR150" s="7"/>
      <c r="CD150" s="8"/>
      <c r="CF150" s="9"/>
    </row>
    <row r="151" spans="2:84" ht="18" customHeight="1" x14ac:dyDescent="0.25">
      <c r="B151" s="7"/>
      <c r="AN151" s="10"/>
      <c r="AP151" s="9"/>
      <c r="AR151" s="7"/>
      <c r="CD151" s="10"/>
      <c r="CF151" s="9"/>
    </row>
    <row r="152" spans="2:84" ht="18" customHeight="1" thickBot="1" x14ac:dyDescent="0.3">
      <c r="B152" s="7"/>
      <c r="C152" s="11" t="str">
        <f>C7</f>
        <v xml:space="preserve">MotorVAR™ SIZING TOOL - MOTOR START CAPACITOR BANK
MotorVAR + RVSS CONFIGURATION </v>
      </c>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2"/>
      <c r="AO152" s="11"/>
      <c r="AP152" s="9"/>
      <c r="AR152" s="7"/>
      <c r="AS152" s="11" t="str">
        <f>C7</f>
        <v xml:space="preserve">MotorVAR™ SIZING TOOL - MOTOR START CAPACITOR BANK
MotorVAR + RVSS CONFIGURATION </v>
      </c>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2"/>
      <c r="CE152" s="11"/>
      <c r="CF152" s="9"/>
    </row>
    <row r="153" spans="2:84" ht="18" customHeight="1" x14ac:dyDescent="0.25">
      <c r="B153" s="7"/>
      <c r="AP153" s="9"/>
      <c r="AR153" s="7"/>
      <c r="CF153" s="9"/>
    </row>
    <row r="154" spans="2:84" ht="18" customHeight="1" x14ac:dyDescent="0.25">
      <c r="B154" s="7"/>
      <c r="C154" s="104" t="s">
        <v>193</v>
      </c>
      <c r="D154" s="104"/>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4"/>
      <c r="AI154" s="104"/>
      <c r="AJ154" s="104"/>
      <c r="AK154" s="104"/>
      <c r="AL154" s="104"/>
      <c r="AM154" s="104"/>
      <c r="AN154" s="104"/>
      <c r="AO154" s="104"/>
      <c r="AP154" s="9"/>
      <c r="AR154" s="7"/>
      <c r="CF154" s="9"/>
    </row>
    <row r="155" spans="2:84" ht="18" customHeight="1" x14ac:dyDescent="0.25">
      <c r="B155" s="7"/>
      <c r="C155" s="104"/>
      <c r="D155" s="104"/>
      <c r="E155" s="104"/>
      <c r="F155" s="104"/>
      <c r="G155" s="104"/>
      <c r="H155" s="104"/>
      <c r="I155" s="104"/>
      <c r="J155" s="104"/>
      <c r="K155" s="104"/>
      <c r="L155" s="104"/>
      <c r="M155" s="104"/>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4"/>
      <c r="AI155" s="104"/>
      <c r="AJ155" s="104"/>
      <c r="AK155" s="104"/>
      <c r="AL155" s="104"/>
      <c r="AM155" s="104"/>
      <c r="AN155" s="104"/>
      <c r="AO155" s="104"/>
      <c r="AP155" s="9"/>
      <c r="AR155" s="7"/>
      <c r="CF155" s="9"/>
    </row>
    <row r="156" spans="2:84" ht="18" customHeight="1" x14ac:dyDescent="0.25">
      <c r="B156" s="7"/>
      <c r="AP156" s="9"/>
      <c r="AR156" s="7"/>
      <c r="CF156" s="9"/>
    </row>
    <row r="157" spans="2:84" ht="18" customHeight="1" x14ac:dyDescent="0.25">
      <c r="B157" s="7"/>
      <c r="AP157" s="9"/>
      <c r="AR157" s="7"/>
      <c r="CF157" s="9"/>
    </row>
    <row r="158" spans="2:84" ht="18" customHeight="1" x14ac:dyDescent="0.25">
      <c r="B158" s="7"/>
      <c r="AP158" s="9"/>
      <c r="AR158" s="7"/>
      <c r="CF158" s="9"/>
    </row>
    <row r="159" spans="2:84" ht="18" customHeight="1" x14ac:dyDescent="0.25">
      <c r="B159" s="7"/>
      <c r="AP159" s="9"/>
      <c r="AR159" s="7"/>
      <c r="CF159" s="9"/>
    </row>
    <row r="160" spans="2:84" ht="18" customHeight="1" x14ac:dyDescent="0.25">
      <c r="B160" s="7"/>
      <c r="AP160" s="9"/>
      <c r="AR160" s="7"/>
      <c r="CF160" s="9"/>
    </row>
    <row r="161" spans="2:84" ht="18" customHeight="1" x14ac:dyDescent="0.25">
      <c r="B161" s="7"/>
      <c r="AP161" s="9"/>
      <c r="AR161" s="7"/>
      <c r="CF161" s="9"/>
    </row>
    <row r="162" spans="2:84" ht="18" customHeight="1" x14ac:dyDescent="0.25">
      <c r="B162" s="7"/>
      <c r="AP162" s="9"/>
      <c r="AR162" s="7"/>
      <c r="CF162" s="9"/>
    </row>
    <row r="163" spans="2:84" ht="18" customHeight="1" x14ac:dyDescent="0.25">
      <c r="B163" s="7"/>
      <c r="AP163" s="9"/>
      <c r="AR163" s="7"/>
      <c r="CF163" s="9"/>
    </row>
    <row r="164" spans="2:84" ht="18" customHeight="1" x14ac:dyDescent="0.25">
      <c r="B164" s="7"/>
      <c r="AP164" s="9"/>
      <c r="AR164" s="7"/>
      <c r="CF164" s="9"/>
    </row>
    <row r="165" spans="2:84" ht="18" customHeight="1" x14ac:dyDescent="0.25">
      <c r="B165" s="7"/>
      <c r="AP165" s="9"/>
      <c r="AR165" s="7"/>
      <c r="CF165" s="9"/>
    </row>
    <row r="166" spans="2:84" ht="18" customHeight="1" x14ac:dyDescent="0.25">
      <c r="B166" s="7"/>
      <c r="AP166" s="9"/>
      <c r="AR166" s="7"/>
      <c r="CF166" s="9"/>
    </row>
    <row r="167" spans="2:84" ht="18" customHeight="1" x14ac:dyDescent="0.25">
      <c r="B167" s="7"/>
      <c r="AP167" s="9"/>
      <c r="AR167" s="7"/>
      <c r="CF167" s="9"/>
    </row>
    <row r="168" spans="2:84" ht="18" customHeight="1" x14ac:dyDescent="0.25">
      <c r="B168" s="7"/>
      <c r="AP168" s="9"/>
      <c r="AR168" s="7"/>
      <c r="CF168" s="9"/>
    </row>
    <row r="169" spans="2:84" ht="18" customHeight="1" x14ac:dyDescent="0.25">
      <c r="B169" s="7"/>
      <c r="AP169" s="9"/>
      <c r="AR169" s="7"/>
      <c r="CF169" s="9"/>
    </row>
    <row r="170" spans="2:84" ht="18" customHeight="1" x14ac:dyDescent="0.25">
      <c r="B170" s="7"/>
      <c r="AP170" s="9"/>
      <c r="AR170" s="7"/>
      <c r="CF170" s="9"/>
    </row>
    <row r="171" spans="2:84" ht="18" customHeight="1" x14ac:dyDescent="0.25">
      <c r="B171" s="7"/>
      <c r="AP171" s="9"/>
      <c r="AR171" s="7"/>
      <c r="CF171" s="9"/>
    </row>
    <row r="172" spans="2:84" ht="18" customHeight="1" x14ac:dyDescent="0.25">
      <c r="B172" s="7"/>
      <c r="AP172" s="9"/>
      <c r="AR172" s="7"/>
      <c r="CF172" s="9"/>
    </row>
    <row r="173" spans="2:84" ht="18" customHeight="1" x14ac:dyDescent="0.25">
      <c r="B173" s="7"/>
      <c r="AP173" s="9"/>
      <c r="AR173" s="7"/>
      <c r="CF173" s="9"/>
    </row>
    <row r="174" spans="2:84" ht="18" customHeight="1" x14ac:dyDescent="0.25">
      <c r="B174" s="7"/>
      <c r="AP174" s="9"/>
      <c r="AR174" s="7"/>
      <c r="CF174" s="9"/>
    </row>
    <row r="175" spans="2:84" ht="18" customHeight="1" x14ac:dyDescent="0.25">
      <c r="B175" s="7"/>
      <c r="AP175" s="9"/>
      <c r="AR175" s="7"/>
      <c r="CF175" s="9"/>
    </row>
    <row r="176" spans="2:84" ht="18" customHeight="1" x14ac:dyDescent="0.25">
      <c r="B176" s="7"/>
      <c r="AP176" s="9"/>
      <c r="AR176" s="7"/>
      <c r="CF176" s="9"/>
    </row>
    <row r="177" spans="2:84" ht="18" customHeight="1" x14ac:dyDescent="0.25">
      <c r="B177" s="7"/>
      <c r="AP177" s="9"/>
      <c r="AR177" s="7"/>
      <c r="CF177" s="9"/>
    </row>
    <row r="178" spans="2:84" ht="18" customHeight="1" x14ac:dyDescent="0.25">
      <c r="B178" s="7"/>
      <c r="C178" s="95" t="s">
        <v>217</v>
      </c>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G178" s="96"/>
      <c r="AH178" s="96"/>
      <c r="AI178" s="96"/>
      <c r="AJ178" s="96"/>
      <c r="AK178" s="96"/>
      <c r="AL178" s="96"/>
      <c r="AM178" s="96"/>
      <c r="AN178" s="96"/>
      <c r="AO178" s="96"/>
      <c r="AP178" s="9"/>
      <c r="AR178" s="7"/>
      <c r="CF178" s="9"/>
    </row>
    <row r="179" spans="2:84" ht="18" customHeight="1" x14ac:dyDescent="0.25">
      <c r="B179" s="7"/>
      <c r="C179" s="97" t="s">
        <v>218</v>
      </c>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
      <c r="AR179" s="7"/>
      <c r="CF179" s="9"/>
    </row>
    <row r="180" spans="2:84" ht="18" customHeight="1" x14ac:dyDescent="0.25">
      <c r="B180" s="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
      <c r="AR180" s="7"/>
      <c r="CF180" s="9"/>
    </row>
    <row r="181" spans="2:84" ht="18" customHeight="1" x14ac:dyDescent="0.25">
      <c r="B181" s="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
      <c r="AR181" s="7"/>
      <c r="CF181" s="9"/>
    </row>
    <row r="182" spans="2:84" ht="18" customHeight="1" x14ac:dyDescent="0.25">
      <c r="B182" s="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
      <c r="AR182" s="7"/>
      <c r="CF182" s="9"/>
    </row>
    <row r="183" spans="2:84" ht="18" customHeight="1" x14ac:dyDescent="0.25">
      <c r="B183" s="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
      <c r="AR183" s="7"/>
      <c r="CF183" s="9"/>
    </row>
    <row r="184" spans="2:84" ht="18" customHeight="1" x14ac:dyDescent="0.25">
      <c r="B184" s="7"/>
      <c r="AP184" s="9"/>
      <c r="AR184" s="7"/>
      <c r="CF184" s="9"/>
    </row>
    <row r="185" spans="2:84" ht="18" customHeight="1" x14ac:dyDescent="0.25">
      <c r="B185" s="7"/>
      <c r="AP185" s="9"/>
      <c r="AR185" s="7"/>
      <c r="CF185" s="9"/>
    </row>
    <row r="186" spans="2:84" ht="18" customHeight="1" x14ac:dyDescent="0.25">
      <c r="B186" s="7"/>
      <c r="AP186" s="9"/>
      <c r="AR186" s="7"/>
      <c r="CF186" s="9"/>
    </row>
    <row r="187" spans="2:84" ht="18" customHeight="1" x14ac:dyDescent="0.25">
      <c r="B187" s="7"/>
      <c r="AP187" s="9"/>
      <c r="AR187" s="7"/>
      <c r="CF187" s="9"/>
    </row>
    <row r="188" spans="2:84" ht="18" customHeight="1" x14ac:dyDescent="0.25">
      <c r="B188" s="7"/>
      <c r="AP188" s="9"/>
      <c r="AR188" s="7"/>
      <c r="CF188" s="9"/>
    </row>
    <row r="189" spans="2:84" ht="18" customHeight="1" x14ac:dyDescent="0.25">
      <c r="B189" s="7"/>
      <c r="AP189" s="9"/>
      <c r="AR189" s="7"/>
      <c r="CF189" s="9"/>
    </row>
    <row r="190" spans="2:84" ht="18" customHeight="1" x14ac:dyDescent="0.25">
      <c r="B190" s="7"/>
      <c r="AP190" s="9"/>
      <c r="AR190" s="7"/>
      <c r="CF190" s="9"/>
    </row>
    <row r="191" spans="2:84" ht="18" customHeight="1" x14ac:dyDescent="0.25">
      <c r="B191" s="7"/>
      <c r="AP191" s="9"/>
      <c r="AR191" s="7"/>
      <c r="CF191" s="9"/>
    </row>
    <row r="192" spans="2:84" ht="18" customHeight="1" x14ac:dyDescent="0.25">
      <c r="B192" s="7"/>
      <c r="AP192" s="9"/>
      <c r="AR192" s="7"/>
      <c r="CF192" s="9"/>
    </row>
    <row r="193" spans="2:131" ht="18" customHeight="1" x14ac:dyDescent="0.25">
      <c r="B193" s="7"/>
      <c r="AP193" s="9"/>
      <c r="AR193" s="7"/>
      <c r="CF193" s="9"/>
    </row>
    <row r="194" spans="2:131" ht="18" customHeight="1" thickBot="1" x14ac:dyDescent="0.3">
      <c r="B194" s="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2"/>
      <c r="AO194" s="11"/>
      <c r="AP194" s="9"/>
      <c r="AR194" s="7"/>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2"/>
      <c r="CE194" s="11"/>
      <c r="CF194" s="9"/>
    </row>
    <row r="195" spans="2:131" ht="18" customHeight="1" x14ac:dyDescent="0.25">
      <c r="B195" s="7"/>
      <c r="D195" s="43" t="s">
        <v>86</v>
      </c>
      <c r="AO195" s="19" t="s">
        <v>109</v>
      </c>
      <c r="AP195" s="9"/>
      <c r="AR195" s="7"/>
      <c r="AT195" s="43" t="s">
        <v>86</v>
      </c>
      <c r="CE195" s="19" t="s">
        <v>110</v>
      </c>
      <c r="CF195" s="9"/>
    </row>
    <row r="196" spans="2:131" ht="18" customHeight="1" x14ac:dyDescent="0.25">
      <c r="B196" s="44"/>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6"/>
      <c r="AR196" s="44"/>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6"/>
      <c r="DX196" s="35"/>
      <c r="DY196" s="36"/>
      <c r="DZ196" s="36"/>
      <c r="EA196" s="37"/>
    </row>
    <row r="197" spans="2:131" ht="18" customHeight="1" x14ac:dyDescent="0.25">
      <c r="DX197" s="35"/>
      <c r="DY197" s="36"/>
      <c r="DZ197" s="36"/>
      <c r="EA197" s="37"/>
    </row>
    <row r="198" spans="2:131" ht="18" customHeight="1" x14ac:dyDescent="0.25"/>
    <row r="305" spans="100:102" ht="18.75" customHeight="1" x14ac:dyDescent="0.25"/>
    <row r="320" spans="100:102" x14ac:dyDescent="0.25">
      <c r="CV320" s="1" t="s">
        <v>115</v>
      </c>
      <c r="CW320" s="1">
        <f>2*660</f>
        <v>1320</v>
      </c>
      <c r="CX320" s="1" t="s">
        <v>116</v>
      </c>
    </row>
    <row r="321" spans="100:102" x14ac:dyDescent="0.25">
      <c r="CV321" s="1" t="s">
        <v>117</v>
      </c>
      <c r="CW321" s="1">
        <v>50</v>
      </c>
      <c r="CX321" s="1" t="s">
        <v>118</v>
      </c>
    </row>
    <row r="322" spans="100:102" x14ac:dyDescent="0.25">
      <c r="CV322" s="1" t="s">
        <v>119</v>
      </c>
      <c r="CW322" s="1">
        <v>16</v>
      </c>
      <c r="CX322" s="1" t="s">
        <v>120</v>
      </c>
    </row>
    <row r="323" spans="100:102" x14ac:dyDescent="0.25">
      <c r="CV323" s="1" t="s">
        <v>111</v>
      </c>
      <c r="CW323" s="1">
        <f>ROUND(1000*1000/(CW324*2*3.1415*CW321),2)</f>
        <v>16.41</v>
      </c>
      <c r="CX323" s="1" t="s">
        <v>112</v>
      </c>
    </row>
    <row r="324" spans="100:102" ht="18.75" x14ac:dyDescent="0.35">
      <c r="CV324" s="1" t="s">
        <v>114</v>
      </c>
      <c r="CW324" s="1">
        <f>CW322*CW322/(CW320/1000)</f>
        <v>193.93939393939394</v>
      </c>
      <c r="CX324" s="1" t="s">
        <v>113</v>
      </c>
    </row>
    <row r="325" spans="100:102" x14ac:dyDescent="0.25">
      <c r="CV325" s="1" t="s">
        <v>121</v>
      </c>
      <c r="CW325" s="1">
        <f>CW320/CW322</f>
        <v>82.5</v>
      </c>
      <c r="CX325" s="1" t="s">
        <v>122</v>
      </c>
    </row>
  </sheetData>
  <sheetProtection algorithmName="SHA-512" hashValue="1w+Xx2bku0lNUfv5/AMztgukwuTTBqOxhLonElYC9B56H9a/kJbt0LV72VRT7i08yV9shfTWE+V6tY0aRCktsg==" saltValue="2c+xdEQTCuY9IXtW/e+zmg==" spinCount="100000" sheet="1" objects="1" scenarios="1"/>
  <mergeCells count="268">
    <mergeCell ref="GE11:GK11"/>
    <mergeCell ref="F117:K117"/>
    <mergeCell ref="F118:K118"/>
    <mergeCell ref="Y137:AM137"/>
    <mergeCell ref="S131:X131"/>
    <mergeCell ref="S132:X132"/>
    <mergeCell ref="S133:X133"/>
    <mergeCell ref="E138:L138"/>
    <mergeCell ref="E139:L139"/>
    <mergeCell ref="BX13:CE13"/>
    <mergeCell ref="DJ13:DM13"/>
    <mergeCell ref="ER13:EU13"/>
    <mergeCell ref="ER11:EU11"/>
    <mergeCell ref="DJ16:DM16"/>
    <mergeCell ref="ER16:EU16"/>
    <mergeCell ref="DJ17:ED17"/>
    <mergeCell ref="ER17:EU17"/>
    <mergeCell ref="EW15:EY15"/>
    <mergeCell ref="BH14:BN14"/>
    <mergeCell ref="BP14:BV14"/>
    <mergeCell ref="BX14:CE14"/>
    <mergeCell ref="DJ14:DM14"/>
    <mergeCell ref="ER14:FK14"/>
    <mergeCell ref="AS20:BF20"/>
    <mergeCell ref="E140:L140"/>
    <mergeCell ref="EW11:EZ11"/>
    <mergeCell ref="H11:W11"/>
    <mergeCell ref="AE11:AN11"/>
    <mergeCell ref="BH12:BN12"/>
    <mergeCell ref="BP12:BV12"/>
    <mergeCell ref="BX12:CE12"/>
    <mergeCell ref="DJ12:DM12"/>
    <mergeCell ref="DO12:DQ12"/>
    <mergeCell ref="BH11:BN11"/>
    <mergeCell ref="DJ18:DM18"/>
    <mergeCell ref="DO18:DQ18"/>
    <mergeCell ref="ER18:EU18"/>
    <mergeCell ref="BP11:BV11"/>
    <mergeCell ref="BX11:CE11"/>
    <mergeCell ref="DJ11:EC11"/>
    <mergeCell ref="ER12:EU12"/>
    <mergeCell ref="BH15:BN15"/>
    <mergeCell ref="BP15:BV15"/>
    <mergeCell ref="BX15:CE15"/>
    <mergeCell ref="DJ15:DM15"/>
    <mergeCell ref="ER15:EU15"/>
    <mergeCell ref="BH13:BN13"/>
    <mergeCell ref="BP13:BV13"/>
    <mergeCell ref="CH6:DU6"/>
    <mergeCell ref="EF6:EV6"/>
    <mergeCell ref="C7:AO8"/>
    <mergeCell ref="DJ7:EC7"/>
    <mergeCell ref="ER7:FK7"/>
    <mergeCell ref="DJ8:DM8"/>
    <mergeCell ref="DO8:DQ8"/>
    <mergeCell ref="ER8:EU8"/>
    <mergeCell ref="AS10:BF10"/>
    <mergeCell ref="DJ10:DM10"/>
    <mergeCell ref="ER10:FK10"/>
    <mergeCell ref="H10:W10"/>
    <mergeCell ref="AE10:AN10"/>
    <mergeCell ref="BP9:BV10"/>
    <mergeCell ref="BX9:CE10"/>
    <mergeCell ref="DJ9:DM9"/>
    <mergeCell ref="ER9:EU9"/>
    <mergeCell ref="EW8:EY8"/>
    <mergeCell ref="BH9:BN10"/>
    <mergeCell ref="DJ20:DM20"/>
    <mergeCell ref="ER20:FL20"/>
    <mergeCell ref="C21:T21"/>
    <mergeCell ref="BH21:BN21"/>
    <mergeCell ref="BX21:CE21"/>
    <mergeCell ref="ER21:EU21"/>
    <mergeCell ref="BP21:BV21"/>
    <mergeCell ref="BH19:BN20"/>
    <mergeCell ref="BP19:BV20"/>
    <mergeCell ref="BX19:CE20"/>
    <mergeCell ref="DJ19:DM19"/>
    <mergeCell ref="ER19:EU19"/>
    <mergeCell ref="W20:AO21"/>
    <mergeCell ref="P23:R23"/>
    <mergeCell ref="BH23:BN23"/>
    <mergeCell ref="BP23:BV23"/>
    <mergeCell ref="BX23:CE23"/>
    <mergeCell ref="ER23:EU23"/>
    <mergeCell ref="EW21:EY21"/>
    <mergeCell ref="P22:R22"/>
    <mergeCell ref="BH22:BN22"/>
    <mergeCell ref="BP22:BV22"/>
    <mergeCell ref="BX22:CE22"/>
    <mergeCell ref="ER22:EU22"/>
    <mergeCell ref="P24:R24"/>
    <mergeCell ref="CJ24:DC24"/>
    <mergeCell ref="DJ24:DM24"/>
    <mergeCell ref="DO24:DQ24"/>
    <mergeCell ref="C25:T25"/>
    <mergeCell ref="BH25:BN25"/>
    <mergeCell ref="BP25:BV25"/>
    <mergeCell ref="BX25:CE25"/>
    <mergeCell ref="CJ25:DC25"/>
    <mergeCell ref="P28:R28"/>
    <mergeCell ref="CJ28:DC28"/>
    <mergeCell ref="DJ28:DM28"/>
    <mergeCell ref="DO28:DQ28"/>
    <mergeCell ref="P26:R26"/>
    <mergeCell ref="BH26:BN26"/>
    <mergeCell ref="BP26:BV26"/>
    <mergeCell ref="BX26:CE26"/>
    <mergeCell ref="CI26:DK26"/>
    <mergeCell ref="P27:R27"/>
    <mergeCell ref="BH27:BN27"/>
    <mergeCell ref="BP27:BV27"/>
    <mergeCell ref="BX27:CE27"/>
    <mergeCell ref="BH30:BN30"/>
    <mergeCell ref="BP30:BV30"/>
    <mergeCell ref="BX30:CE30"/>
    <mergeCell ref="CJ32:DC32"/>
    <mergeCell ref="P29:R29"/>
    <mergeCell ref="BH29:BN29"/>
    <mergeCell ref="BP29:BV29"/>
    <mergeCell ref="BX29:CE29"/>
    <mergeCell ref="CJ29:DC29"/>
    <mergeCell ref="C30:T30"/>
    <mergeCell ref="CI30:DK30"/>
    <mergeCell ref="DJ32:DM32"/>
    <mergeCell ref="DO32:DQ32"/>
    <mergeCell ref="P33:R33"/>
    <mergeCell ref="BH32:BN32"/>
    <mergeCell ref="BP32:BV32"/>
    <mergeCell ref="BX32:CE32"/>
    <mergeCell ref="CJ33:DC33"/>
    <mergeCell ref="P31:R31"/>
    <mergeCell ref="P32:R32"/>
    <mergeCell ref="P36:R36"/>
    <mergeCell ref="CJ36:DD36"/>
    <mergeCell ref="AH42:AO42"/>
    <mergeCell ref="P37:R37"/>
    <mergeCell ref="CJ37:DD37"/>
    <mergeCell ref="P34:R34"/>
    <mergeCell ref="CI34:DK34"/>
    <mergeCell ref="P35:R35"/>
    <mergeCell ref="AS33:BR33"/>
    <mergeCell ref="BS33:CA33"/>
    <mergeCell ref="P40:R40"/>
    <mergeCell ref="CI40:DK40"/>
    <mergeCell ref="AS38:CE46"/>
    <mergeCell ref="P41:R41"/>
    <mergeCell ref="DJ41:DM41"/>
    <mergeCell ref="HL60:HY60"/>
    <mergeCell ref="HZ60:IC60"/>
    <mergeCell ref="P43:R43"/>
    <mergeCell ref="CI43:DK43"/>
    <mergeCell ref="DN43:DQ43"/>
    <mergeCell ref="DS43:DV43"/>
    <mergeCell ref="P44:R44"/>
    <mergeCell ref="P45:R45"/>
    <mergeCell ref="CI45:DL45"/>
    <mergeCell ref="DJ46:DM46"/>
    <mergeCell ref="GF34:GH34"/>
    <mergeCell ref="FH28:FJ28"/>
    <mergeCell ref="FH25:GK25"/>
    <mergeCell ref="FK26:FO26"/>
    <mergeCell ref="FH29:FJ29"/>
    <mergeCell ref="FK29:FZ29"/>
    <mergeCell ref="FK28:FZ28"/>
    <mergeCell ref="FK27:FZ27"/>
    <mergeCell ref="DR71:DZ71"/>
    <mergeCell ref="DR67:DZ67"/>
    <mergeCell ref="DN48:DZ48"/>
    <mergeCell ref="DN49:DQ49"/>
    <mergeCell ref="DN50:DQ50"/>
    <mergeCell ref="FH33:FJ33"/>
    <mergeCell ref="FK33:FZ33"/>
    <mergeCell ref="GA33:GD33"/>
    <mergeCell ref="FH31:FJ31"/>
    <mergeCell ref="FK31:FZ31"/>
    <mergeCell ref="FK32:FZ32"/>
    <mergeCell ref="GA32:GD32"/>
    <mergeCell ref="GF32:GH32"/>
    <mergeCell ref="FD32:FJ32"/>
    <mergeCell ref="FH30:FJ30"/>
    <mergeCell ref="FK30:FZ30"/>
    <mergeCell ref="FM14:GC14"/>
    <mergeCell ref="FM15:FP15"/>
    <mergeCell ref="FR15:FT15"/>
    <mergeCell ref="FM16:FP16"/>
    <mergeCell ref="FM17:FP17"/>
    <mergeCell ref="FM7:GC7"/>
    <mergeCell ref="FM8:FP8"/>
    <mergeCell ref="FR8:FT8"/>
    <mergeCell ref="FM9:FP9"/>
    <mergeCell ref="FM10:GC10"/>
    <mergeCell ref="FM11:FP11"/>
    <mergeCell ref="FR11:FU11"/>
    <mergeCell ref="FM12:FP12"/>
    <mergeCell ref="FM13:FP13"/>
    <mergeCell ref="FM18:FP18"/>
    <mergeCell ref="FM19:FP19"/>
    <mergeCell ref="FM20:GC20"/>
    <mergeCell ref="FM21:FP21"/>
    <mergeCell ref="FR21:FT21"/>
    <mergeCell ref="FM22:FP22"/>
    <mergeCell ref="FZ40:GK41"/>
    <mergeCell ref="FK37:FZ37"/>
    <mergeCell ref="GA31:GK31"/>
    <mergeCell ref="GA37:GD37"/>
    <mergeCell ref="GF37:GH37"/>
    <mergeCell ref="FK38:FZ38"/>
    <mergeCell ref="GA38:GD38"/>
    <mergeCell ref="GF38:GH38"/>
    <mergeCell ref="FK35:FZ35"/>
    <mergeCell ref="GA35:GD35"/>
    <mergeCell ref="GF35:GH35"/>
    <mergeCell ref="FK36:FZ36"/>
    <mergeCell ref="GA36:GD36"/>
    <mergeCell ref="GF36:GH36"/>
    <mergeCell ref="GF33:GH33"/>
    <mergeCell ref="GI33:GJ33"/>
    <mergeCell ref="GA34:GD34"/>
    <mergeCell ref="FK34:FZ34"/>
    <mergeCell ref="EH71:EU71"/>
    <mergeCell ref="EH72:EU72"/>
    <mergeCell ref="AS105:CE106"/>
    <mergeCell ref="C154:AO155"/>
    <mergeCell ref="FM23:FP23"/>
    <mergeCell ref="DR68:DZ68"/>
    <mergeCell ref="DR69:DZ69"/>
    <mergeCell ref="DR70:DZ70"/>
    <mergeCell ref="EA67:EG67"/>
    <mergeCell ref="EA68:EG68"/>
    <mergeCell ref="EA69:EG69"/>
    <mergeCell ref="FH35:FJ35"/>
    <mergeCell ref="FH36:FJ36"/>
    <mergeCell ref="FH34:FJ34"/>
    <mergeCell ref="DR72:DZ72"/>
    <mergeCell ref="DO41:DQ41"/>
    <mergeCell ref="C42:T42"/>
    <mergeCell ref="C38:T38"/>
    <mergeCell ref="CI38:DK38"/>
    <mergeCell ref="P39:R39"/>
    <mergeCell ref="FL41:FR41"/>
    <mergeCell ref="FK40:FY40"/>
    <mergeCell ref="AH40:AO40"/>
    <mergeCell ref="AH41:AO41"/>
    <mergeCell ref="EK33:EN33"/>
    <mergeCell ref="EK34:EN34"/>
    <mergeCell ref="EK35:EN35"/>
    <mergeCell ref="EI32:ET32"/>
    <mergeCell ref="C178:AO178"/>
    <mergeCell ref="C179:AO183"/>
    <mergeCell ref="DR73:DZ73"/>
    <mergeCell ref="EH73:EU73"/>
    <mergeCell ref="DO46:DQ46"/>
    <mergeCell ref="DB68:DQ68"/>
    <mergeCell ref="DB69:DQ69"/>
    <mergeCell ref="DB70:DQ70"/>
    <mergeCell ref="DB71:DQ71"/>
    <mergeCell ref="DB72:DQ72"/>
    <mergeCell ref="DB73:DQ73"/>
    <mergeCell ref="DB67:DQ67"/>
    <mergeCell ref="EA70:EG70"/>
    <mergeCell ref="EA71:EG71"/>
    <mergeCell ref="EA72:EG72"/>
    <mergeCell ref="EA73:EG73"/>
    <mergeCell ref="EH67:EU67"/>
    <mergeCell ref="EH68:EU68"/>
    <mergeCell ref="EH69:EU69"/>
    <mergeCell ref="EH70:EU70"/>
  </mergeCells>
  <dataValidations count="2">
    <dataValidation type="decimal" operator="lessThanOrEqual" allowBlank="1" showInputMessage="1" showErrorMessage="1" error="Value cannot exceed the limit in cell P40." promptTitle="Maximum RVSS Current Limit" prompt="The current limit cannot be greater than what the system can deliver. See cell P40. To allow for greater values, increase the MotorVAR Rating." sqref="P39:R39" xr:uid="{6789F240-7267-461C-96C6-7423B44533BB}">
      <formula1>P40</formula1>
    </dataValidation>
    <dataValidation allowBlank="1" showErrorMessage="1" sqref="S17:U17" xr:uid="{22D1D025-4F12-419D-AEBA-0D80ABDC3402}"/>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D2887-ADEA-49DF-B2FB-F5CAC09009FE}">
  <sheetPr>
    <pageSetUpPr fitToPage="1"/>
  </sheetPr>
  <dimension ref="B1:IC305"/>
  <sheetViews>
    <sheetView zoomScaleNormal="100" workbookViewId="0">
      <selection activeCell="CG1" sqref="CG1:FN1048576"/>
    </sheetView>
  </sheetViews>
  <sheetFormatPr defaultRowHeight="15" x14ac:dyDescent="0.25"/>
  <cols>
    <col min="1" max="84" width="2.7109375" style="1" customWidth="1"/>
    <col min="85" max="128" width="2.7109375" style="1" hidden="1" customWidth="1"/>
    <col min="129" max="131" width="2.7109375" style="2" hidden="1" customWidth="1"/>
    <col min="132" max="133" width="2.7109375" style="1" hidden="1" customWidth="1"/>
    <col min="134" max="148" width="2.7109375" style="3" hidden="1" customWidth="1"/>
    <col min="149" max="167" width="2.7109375" style="1" hidden="1" customWidth="1"/>
    <col min="168" max="170" width="9.140625" style="1" hidden="1" customWidth="1"/>
    <col min="171" max="189" width="9.140625" style="1" customWidth="1"/>
    <col min="190" max="249" width="2.7109375" style="1" customWidth="1"/>
    <col min="250" max="250" width="9.140625" style="1" customWidth="1"/>
    <col min="251" max="16384" width="9.140625" style="1"/>
  </cols>
  <sheetData>
    <row r="1" spans="2:159" ht="18" customHeight="1" x14ac:dyDescent="0.25"/>
    <row r="2" spans="2:159"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c r="CH2" s="1" t="s">
        <v>136</v>
      </c>
    </row>
    <row r="3" spans="2:159" ht="18" customHeight="1" x14ac:dyDescent="0.25">
      <c r="B3" s="7"/>
      <c r="AO3" s="8" t="s">
        <v>0</v>
      </c>
      <c r="AP3" s="9"/>
      <c r="AR3" s="7"/>
      <c r="CF3" s="9"/>
      <c r="CI3" s="31"/>
      <c r="CJ3" s="31"/>
      <c r="CK3" s="31"/>
      <c r="CL3" s="31"/>
      <c r="CM3" s="31"/>
      <c r="CN3" s="31"/>
      <c r="CO3" s="31"/>
      <c r="CP3" s="31"/>
      <c r="CQ3" s="31"/>
      <c r="CR3" s="31"/>
    </row>
    <row r="4" spans="2:159" ht="18" customHeight="1" x14ac:dyDescent="0.25">
      <c r="B4" s="7"/>
      <c r="AO4" s="10" t="s">
        <v>1</v>
      </c>
      <c r="AP4" s="9"/>
      <c r="AR4" s="7"/>
      <c r="CF4" s="9"/>
    </row>
    <row r="5" spans="2:159" ht="18" customHeight="1" thickBot="1" x14ac:dyDescent="0.3">
      <c r="B5" s="7"/>
      <c r="AO5" s="10" t="s">
        <v>2</v>
      </c>
      <c r="AP5" s="9"/>
      <c r="AR5" s="7"/>
      <c r="AS5" s="64" t="str">
        <f>C7</f>
        <v>MotorVAR™ - MOTOR START CAPACITOR BANK - SIZING TOOL 
CAPTIVE TRANSFORMER CONFIGURATION</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row>
    <row r="6" spans="2:159"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CH6" s="101" t="s">
        <v>4</v>
      </c>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3"/>
      <c r="DU6" s="152" t="s">
        <v>5</v>
      </c>
      <c r="DV6" s="152"/>
      <c r="DW6" s="152"/>
      <c r="DX6" s="152"/>
      <c r="DY6" s="152"/>
      <c r="DZ6" s="152"/>
      <c r="EA6" s="152"/>
      <c r="EB6" s="152"/>
      <c r="EC6" s="152"/>
      <c r="ED6" s="152"/>
      <c r="EE6" s="152"/>
      <c r="EF6" s="152"/>
      <c r="EG6" s="152"/>
      <c r="EH6" s="152"/>
      <c r="EI6" s="152"/>
      <c r="EJ6" s="152"/>
      <c r="EK6" s="152"/>
      <c r="EL6" s="1"/>
      <c r="EM6" s="1"/>
      <c r="EN6" s="1"/>
      <c r="EO6" s="1"/>
      <c r="EP6" s="1"/>
      <c r="EQ6" s="1"/>
      <c r="ER6" s="1"/>
    </row>
    <row r="7" spans="2:159" ht="18" customHeight="1" x14ac:dyDescent="0.25">
      <c r="B7" s="7"/>
      <c r="C7" s="153" t="s">
        <v>160</v>
      </c>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9"/>
      <c r="AR7" s="7"/>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9"/>
      <c r="CU7" s="15"/>
      <c r="CV7" s="15"/>
      <c r="CW7" s="15"/>
      <c r="CX7" s="15"/>
      <c r="CY7" s="16" t="s">
        <v>6</v>
      </c>
      <c r="CZ7" s="118" t="str">
        <f>IMDIV(P32*1000/1.73,CI77)</f>
        <v>397.450193085934-2511.48530032052i</v>
      </c>
      <c r="DA7" s="118"/>
      <c r="DB7" s="118"/>
      <c r="DC7" s="118"/>
      <c r="DD7" s="118"/>
      <c r="DE7" s="118"/>
      <c r="DF7" s="118"/>
      <c r="DG7" s="118"/>
      <c r="DH7" s="118"/>
      <c r="DI7" s="118"/>
      <c r="DJ7" s="118"/>
      <c r="DK7" s="118"/>
      <c r="DL7" s="118"/>
      <c r="DM7" s="118"/>
      <c r="DN7" s="118"/>
      <c r="DO7" s="118"/>
      <c r="DP7" s="118"/>
      <c r="DQ7" s="118"/>
      <c r="DR7" s="118"/>
      <c r="DS7" s="118"/>
      <c r="DT7" s="3"/>
      <c r="DU7" s="3"/>
      <c r="DV7" s="3"/>
      <c r="DW7" s="17"/>
      <c r="DX7" s="17"/>
      <c r="DY7" s="17"/>
      <c r="DZ7" s="17"/>
      <c r="EA7" s="17"/>
      <c r="EB7" s="17"/>
      <c r="EC7" s="17"/>
      <c r="ED7" s="17"/>
      <c r="EE7" s="17"/>
      <c r="EF7" s="16" t="s">
        <v>7</v>
      </c>
      <c r="EG7" s="118" t="str">
        <f>IMDIV(P32*1000/1.73,CI82)</f>
        <v>714.61730181328-665.430511522368i</v>
      </c>
      <c r="EH7" s="118"/>
      <c r="EI7" s="118"/>
      <c r="EJ7" s="118"/>
      <c r="EK7" s="118"/>
      <c r="EL7" s="118"/>
      <c r="EM7" s="118"/>
      <c r="EN7" s="118"/>
      <c r="EO7" s="118"/>
      <c r="EP7" s="118"/>
      <c r="EQ7" s="118"/>
      <c r="ER7" s="118"/>
      <c r="ES7" s="118"/>
      <c r="ET7" s="118"/>
      <c r="EU7" s="118"/>
      <c r="EV7" s="118"/>
      <c r="EW7" s="118"/>
      <c r="EX7" s="118"/>
      <c r="EY7" s="118"/>
      <c r="EZ7" s="118"/>
      <c r="FA7" s="3"/>
      <c r="FC7" s="1" t="s">
        <v>128</v>
      </c>
    </row>
    <row r="8" spans="2:159" ht="18" customHeight="1" x14ac:dyDescent="0.25">
      <c r="B8" s="7"/>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9"/>
      <c r="AR8" s="7"/>
      <c r="AS8" s="18" t="s">
        <v>8</v>
      </c>
      <c r="CF8" s="9"/>
      <c r="CY8" s="19" t="s">
        <v>6</v>
      </c>
      <c r="CZ8" s="113">
        <f>IMABS(CZ7)</f>
        <v>2542.7396779281394</v>
      </c>
      <c r="DA8" s="113"/>
      <c r="DB8" s="113"/>
      <c r="DC8" s="113"/>
      <c r="DD8" s="3" t="s">
        <v>9</v>
      </c>
      <c r="DE8" s="93">
        <f>DEGREES(IMARGUMENT(CZ7))</f>
        <v>-81.007344383989818</v>
      </c>
      <c r="DF8" s="93"/>
      <c r="DG8" s="93"/>
      <c r="DH8" s="1" t="s">
        <v>10</v>
      </c>
      <c r="DJ8" s="3"/>
      <c r="DK8" s="3"/>
      <c r="DL8" s="3"/>
      <c r="DM8" s="3"/>
      <c r="DN8" s="3"/>
      <c r="DO8" s="3"/>
      <c r="DP8" s="3"/>
      <c r="DQ8" s="3"/>
      <c r="DR8" s="3"/>
      <c r="DS8" s="3"/>
      <c r="DT8" s="3"/>
      <c r="DU8" s="3"/>
      <c r="DV8" s="3"/>
      <c r="DW8" s="3"/>
      <c r="DX8" s="3"/>
      <c r="DY8" s="3"/>
      <c r="DZ8" s="3"/>
      <c r="EA8" s="3"/>
      <c r="EB8" s="3"/>
      <c r="EC8" s="3"/>
      <c r="EF8" s="19" t="s">
        <v>7</v>
      </c>
      <c r="EG8" s="114">
        <f>IMABS(EG7)</f>
        <v>976.46077940479154</v>
      </c>
      <c r="EH8" s="114"/>
      <c r="EI8" s="114"/>
      <c r="EJ8" s="114"/>
      <c r="EK8" s="3" t="s">
        <v>9</v>
      </c>
      <c r="EL8" s="93">
        <f>DEGREES(IMARGUMENT(EG7))</f>
        <v>-42.958764146835662</v>
      </c>
      <c r="EM8" s="93"/>
      <c r="EN8" s="93"/>
      <c r="EO8" s="1" t="s">
        <v>10</v>
      </c>
      <c r="EP8" s="1"/>
      <c r="ES8" s="3"/>
      <c r="ET8" s="3"/>
      <c r="EU8" s="3"/>
      <c r="EV8" s="3"/>
      <c r="EW8" s="3"/>
      <c r="EX8" s="3"/>
      <c r="EY8" s="3"/>
      <c r="EZ8" s="3"/>
      <c r="FA8" s="3"/>
      <c r="FC8" s="1" t="s">
        <v>128</v>
      </c>
    </row>
    <row r="9" spans="2:159" ht="18" customHeight="1" x14ac:dyDescent="0.25">
      <c r="B9" s="7"/>
      <c r="C9" s="18" t="s">
        <v>11</v>
      </c>
      <c r="D9" s="20"/>
      <c r="E9" s="21"/>
      <c r="F9" s="21"/>
      <c r="G9" s="21"/>
      <c r="H9" s="21"/>
      <c r="I9" s="22"/>
      <c r="J9" s="23"/>
      <c r="K9" s="23"/>
      <c r="L9" s="23"/>
      <c r="M9" s="23"/>
      <c r="N9" s="23"/>
      <c r="O9" s="23"/>
      <c r="P9" s="23"/>
      <c r="Q9" s="23"/>
      <c r="R9" s="23"/>
      <c r="S9" s="23"/>
      <c r="T9" s="23"/>
      <c r="U9" s="23"/>
      <c r="V9" s="23"/>
      <c r="W9" s="23"/>
      <c r="X9" s="23"/>
      <c r="Y9" s="23"/>
      <c r="Z9" s="23"/>
      <c r="AA9" s="23"/>
      <c r="AB9" s="23"/>
      <c r="AC9" s="23" t="s">
        <v>12</v>
      </c>
      <c r="AD9" s="23"/>
      <c r="AE9" s="23"/>
      <c r="AG9" s="24"/>
      <c r="AH9" s="24"/>
      <c r="AI9" s="24"/>
      <c r="AJ9" s="24"/>
      <c r="AK9" s="24"/>
      <c r="AL9" s="24"/>
      <c r="AM9" s="24"/>
      <c r="AN9" s="25" t="str">
        <f ca="1">"" &amp; TEXT(TODAY(), "mmmm d, yyyy")</f>
        <v>April 13, 2026</v>
      </c>
      <c r="AO9" s="24"/>
      <c r="AP9" s="9"/>
      <c r="AR9" s="7"/>
      <c r="BH9" s="144" t="s">
        <v>13</v>
      </c>
      <c r="BI9" s="144"/>
      <c r="BJ9" s="144"/>
      <c r="BK9" s="144"/>
      <c r="BL9" s="144"/>
      <c r="BM9" s="144"/>
      <c r="BN9" s="144"/>
      <c r="BO9" s="144"/>
      <c r="BP9" s="144"/>
      <c r="BQ9" s="144"/>
      <c r="BS9" s="146" t="s">
        <v>14</v>
      </c>
      <c r="BT9" s="146"/>
      <c r="BU9" s="146"/>
      <c r="BV9" s="146"/>
      <c r="BW9" s="146"/>
      <c r="BX9" s="146"/>
      <c r="BY9" s="146"/>
      <c r="BZ9" s="146"/>
      <c r="CA9" s="146"/>
      <c r="CF9" s="9"/>
      <c r="CY9" s="19" t="s">
        <v>15</v>
      </c>
      <c r="CZ9" s="111">
        <f>CZ8/P38</f>
        <v>3.8236686886137434</v>
      </c>
      <c r="DA9" s="111"/>
      <c r="DB9" s="111"/>
      <c r="DC9" s="111"/>
      <c r="DO9" s="2"/>
      <c r="DP9" s="2"/>
      <c r="DQ9" s="2"/>
      <c r="DT9" s="3"/>
      <c r="DU9" s="3"/>
      <c r="DV9" s="3"/>
      <c r="DW9" s="3"/>
      <c r="DX9" s="3"/>
      <c r="DY9" s="3"/>
      <c r="DZ9" s="3"/>
      <c r="EA9" s="3"/>
      <c r="EB9" s="3"/>
      <c r="EC9" s="3"/>
      <c r="EF9" s="19" t="s">
        <v>16</v>
      </c>
      <c r="EG9" s="111">
        <f>EG8/P38</f>
        <v>1.4683620742929195</v>
      </c>
      <c r="EH9" s="111"/>
      <c r="EI9" s="111"/>
      <c r="EJ9" s="111"/>
      <c r="EK9" s="1"/>
      <c r="EL9" s="1"/>
      <c r="EM9" s="1"/>
      <c r="EN9" s="1"/>
      <c r="EO9" s="1"/>
      <c r="EP9" s="1"/>
      <c r="EQ9" s="1"/>
      <c r="ER9" s="1"/>
      <c r="FC9" s="1" t="s">
        <v>128</v>
      </c>
    </row>
    <row r="10" spans="2:159" ht="18" customHeight="1" x14ac:dyDescent="0.25">
      <c r="B10" s="7"/>
      <c r="AP10" s="9"/>
      <c r="AR10" s="7"/>
      <c r="AS10" s="155" t="s">
        <v>137</v>
      </c>
      <c r="AT10" s="155"/>
      <c r="AU10" s="155"/>
      <c r="AV10" s="155"/>
      <c r="AW10" s="155"/>
      <c r="AX10" s="155"/>
      <c r="AY10" s="155"/>
      <c r="AZ10" s="155"/>
      <c r="BA10" s="155"/>
      <c r="BB10" s="155"/>
      <c r="BC10" s="155"/>
      <c r="BD10" s="155"/>
      <c r="BE10" s="155"/>
      <c r="BF10" s="155"/>
      <c r="BH10" s="145"/>
      <c r="BI10" s="145"/>
      <c r="BJ10" s="145"/>
      <c r="BK10" s="145"/>
      <c r="BL10" s="145"/>
      <c r="BM10" s="145"/>
      <c r="BN10" s="145"/>
      <c r="BO10" s="145"/>
      <c r="BP10" s="145"/>
      <c r="BQ10" s="145"/>
      <c r="BS10" s="147"/>
      <c r="BT10" s="147"/>
      <c r="BU10" s="147"/>
      <c r="BV10" s="147"/>
      <c r="BW10" s="147"/>
      <c r="BX10" s="147"/>
      <c r="BY10" s="147"/>
      <c r="BZ10" s="147"/>
      <c r="CA10" s="147"/>
      <c r="CF10" s="9"/>
      <c r="CY10" s="19" t="s">
        <v>18</v>
      </c>
      <c r="CZ10" s="111">
        <f>(CZ9/(P41/100))^2</f>
        <v>0.3460459701842637</v>
      </c>
      <c r="DA10" s="111"/>
      <c r="DB10" s="111"/>
      <c r="DC10" s="111"/>
      <c r="DE10" s="3" t="s">
        <v>12</v>
      </c>
      <c r="DO10" s="2"/>
      <c r="DP10" s="2"/>
      <c r="DQ10" s="2"/>
      <c r="DT10" s="3"/>
      <c r="DU10" s="3"/>
      <c r="DV10" s="3"/>
      <c r="DW10" s="3"/>
      <c r="DX10" s="3"/>
      <c r="DY10" s="3"/>
      <c r="DZ10" s="3"/>
      <c r="EA10" s="3"/>
      <c r="EB10" s="17"/>
      <c r="EC10" s="17"/>
      <c r="ED10" s="17"/>
      <c r="EE10" s="17"/>
      <c r="EF10" s="16" t="s">
        <v>19</v>
      </c>
      <c r="EG10" s="197" t="str">
        <f>IMDIV(IMDIV(EG14,CI71),"1.73+0i")</f>
        <v>299.321090912507-3950.81101829781i</v>
      </c>
      <c r="EH10" s="197"/>
      <c r="EI10" s="197"/>
      <c r="EJ10" s="197"/>
      <c r="EK10" s="197"/>
      <c r="EL10" s="197"/>
      <c r="EM10" s="197"/>
      <c r="EN10" s="197"/>
      <c r="EO10" s="197"/>
      <c r="EP10" s="197"/>
      <c r="EQ10" s="197"/>
      <c r="ER10" s="197"/>
      <c r="ES10" s="197"/>
      <c r="ET10" s="197"/>
      <c r="EU10" s="197"/>
      <c r="EV10" s="197"/>
      <c r="EW10" s="197"/>
      <c r="EX10" s="197"/>
      <c r="EY10" s="197"/>
      <c r="EZ10" s="197"/>
      <c r="FC10" s="1" t="s">
        <v>128</v>
      </c>
    </row>
    <row r="11" spans="2:159" ht="18" customHeight="1" x14ac:dyDescent="0.25">
      <c r="B11" s="7"/>
      <c r="D11" s="23"/>
      <c r="E11" s="23"/>
      <c r="F11" s="23"/>
      <c r="G11" s="10" t="s">
        <v>20</v>
      </c>
      <c r="H11" s="157" t="s">
        <v>21</v>
      </c>
      <c r="I11" s="157"/>
      <c r="J11" s="157"/>
      <c r="K11" s="157"/>
      <c r="L11" s="157"/>
      <c r="M11" s="157"/>
      <c r="N11" s="157"/>
      <c r="O11" s="157"/>
      <c r="P11" s="157"/>
      <c r="Q11" s="157"/>
      <c r="R11" s="157"/>
      <c r="S11" s="157"/>
      <c r="T11" s="157"/>
      <c r="U11" s="157"/>
      <c r="V11" s="157"/>
      <c r="W11" s="157"/>
      <c r="X11" s="23"/>
      <c r="Y11" s="23"/>
      <c r="Z11" s="23"/>
      <c r="AA11" s="23"/>
      <c r="AC11" s="10" t="s">
        <v>22</v>
      </c>
      <c r="AD11" s="23"/>
      <c r="AE11" s="158" t="s">
        <v>23</v>
      </c>
      <c r="AF11" s="158"/>
      <c r="AG11" s="158"/>
      <c r="AH11" s="158"/>
      <c r="AI11" s="158"/>
      <c r="AJ11" s="158"/>
      <c r="AK11" s="158"/>
      <c r="AL11" s="158"/>
      <c r="AM11" s="158"/>
      <c r="AN11" s="158"/>
      <c r="AO11" s="23"/>
      <c r="AP11" s="9"/>
      <c r="AR11" s="7"/>
      <c r="BF11" s="10" t="s">
        <v>24</v>
      </c>
      <c r="BH11" s="184" t="str">
        <f>ROUND(CZ8,0)&amp;" amps, "&amp;ROUND(DE8,1)&amp;"°"</f>
        <v>2543 amps, -81°</v>
      </c>
      <c r="BI11" s="184"/>
      <c r="BJ11" s="184"/>
      <c r="BK11" s="184"/>
      <c r="BL11" s="184"/>
      <c r="BM11" s="184"/>
      <c r="BN11" s="184"/>
      <c r="BO11" s="184"/>
      <c r="BP11" s="184"/>
      <c r="BQ11" s="184"/>
      <c r="BS11" s="196" t="str">
        <f>ROUND(EG11,0)&amp;" amps, "&amp;ROUND(EL11,1)&amp;"°"</f>
        <v>3962 amps, -85.7°</v>
      </c>
      <c r="BT11" s="196"/>
      <c r="BU11" s="196"/>
      <c r="BV11" s="196"/>
      <c r="BW11" s="196"/>
      <c r="BX11" s="196"/>
      <c r="BY11" s="196"/>
      <c r="BZ11" s="196"/>
      <c r="CA11" s="196"/>
      <c r="CF11" s="9"/>
      <c r="CQ11" s="15"/>
      <c r="CR11" s="15"/>
      <c r="CS11" s="15"/>
      <c r="CT11" s="15"/>
      <c r="CU11" s="15"/>
      <c r="CV11" s="15"/>
      <c r="CW11" s="15"/>
      <c r="CX11" s="15"/>
      <c r="CY11" s="16" t="s">
        <v>25</v>
      </c>
      <c r="CZ11" s="118" t="str">
        <f>IMPRODUCT(CI71,CZ7,"1.73+0i")</f>
        <v>2350.70725879146-104.455284276813i</v>
      </c>
      <c r="DA11" s="118"/>
      <c r="DB11" s="118"/>
      <c r="DC11" s="118"/>
      <c r="DD11" s="118"/>
      <c r="DE11" s="118"/>
      <c r="DF11" s="118"/>
      <c r="DG11" s="118"/>
      <c r="DH11" s="118"/>
      <c r="DI11" s="118"/>
      <c r="DJ11" s="118"/>
      <c r="DK11" s="118"/>
      <c r="DL11" s="118"/>
      <c r="DM11" s="118"/>
      <c r="DN11" s="118"/>
      <c r="DO11" s="118"/>
      <c r="DP11" s="118"/>
      <c r="DQ11" s="118"/>
      <c r="DR11" s="118"/>
      <c r="DS11" s="118"/>
      <c r="DT11" s="3"/>
      <c r="DU11" s="3"/>
      <c r="DV11" s="3"/>
      <c r="DW11" s="3"/>
      <c r="DX11" s="3"/>
      <c r="DY11" s="3"/>
      <c r="DZ11" s="3"/>
      <c r="EA11" s="3"/>
      <c r="EB11" s="3"/>
      <c r="EC11" s="3"/>
      <c r="EF11" s="26" t="s">
        <v>19</v>
      </c>
      <c r="EG11" s="94">
        <f>IMABS(EG10)</f>
        <v>3962.1333669840583</v>
      </c>
      <c r="EH11" s="94"/>
      <c r="EI11" s="94"/>
      <c r="EJ11" s="94"/>
      <c r="EK11" s="1" t="s">
        <v>9</v>
      </c>
      <c r="EL11" s="100">
        <f>DEGREES(IMARGUMENT(EG10))</f>
        <v>-85.66743762771965</v>
      </c>
      <c r="EM11" s="100"/>
      <c r="EN11" s="100"/>
      <c r="EO11" s="100"/>
      <c r="EP11" s="1" t="s">
        <v>10</v>
      </c>
      <c r="EQ11" s="1"/>
      <c r="ER11" s="1"/>
      <c r="FC11" s="1" t="s">
        <v>128</v>
      </c>
    </row>
    <row r="12" spans="2:159" ht="18" customHeight="1" x14ac:dyDescent="0.25">
      <c r="B12" s="7"/>
      <c r="C12" s="23"/>
      <c r="D12" s="23"/>
      <c r="E12" s="23"/>
      <c r="F12" s="23"/>
      <c r="G12" s="10" t="s">
        <v>26</v>
      </c>
      <c r="H12" s="157" t="s">
        <v>21</v>
      </c>
      <c r="I12" s="157"/>
      <c r="J12" s="157"/>
      <c r="K12" s="157"/>
      <c r="L12" s="157"/>
      <c r="M12" s="157"/>
      <c r="N12" s="157"/>
      <c r="O12" s="157"/>
      <c r="P12" s="157"/>
      <c r="Q12" s="157"/>
      <c r="R12" s="157"/>
      <c r="S12" s="157"/>
      <c r="T12" s="157"/>
      <c r="U12" s="157"/>
      <c r="V12" s="157"/>
      <c r="W12" s="157"/>
      <c r="X12" s="23"/>
      <c r="Y12" s="23"/>
      <c r="Z12" s="23"/>
      <c r="AA12" s="23"/>
      <c r="AB12" s="23"/>
      <c r="AC12" s="10" t="s">
        <v>27</v>
      </c>
      <c r="AD12" s="23"/>
      <c r="AE12" s="159" t="s">
        <v>28</v>
      </c>
      <c r="AF12" s="160"/>
      <c r="AG12" s="160"/>
      <c r="AH12" s="160"/>
      <c r="AI12" s="160"/>
      <c r="AJ12" s="160"/>
      <c r="AK12" s="160"/>
      <c r="AL12" s="160"/>
      <c r="AM12" s="160"/>
      <c r="AN12" s="161"/>
      <c r="AO12" s="23"/>
      <c r="AP12" s="9"/>
      <c r="AR12" s="7"/>
      <c r="AT12" s="19"/>
      <c r="AU12" s="19"/>
      <c r="AV12" s="19"/>
      <c r="AW12" s="19"/>
      <c r="AX12" s="19"/>
      <c r="AY12" s="19"/>
      <c r="AZ12" s="19"/>
      <c r="BA12" s="19"/>
      <c r="BB12" s="19"/>
      <c r="BC12" s="19"/>
      <c r="BD12" s="19"/>
      <c r="BE12" s="19"/>
      <c r="BF12" s="10" t="s">
        <v>29</v>
      </c>
      <c r="BH12" s="125">
        <f>CZ9</f>
        <v>3.8236686886137434</v>
      </c>
      <c r="BI12" s="125"/>
      <c r="BJ12" s="125"/>
      <c r="BK12" s="125"/>
      <c r="BL12" s="125"/>
      <c r="BM12" s="125"/>
      <c r="BN12" s="125"/>
      <c r="BO12" s="125"/>
      <c r="BP12" s="125"/>
      <c r="BQ12" s="125"/>
      <c r="BS12" s="183">
        <f>EG12</f>
        <v>5.958095288697832</v>
      </c>
      <c r="BT12" s="183"/>
      <c r="BU12" s="183"/>
      <c r="BV12" s="183"/>
      <c r="BW12" s="183"/>
      <c r="BX12" s="183"/>
      <c r="BY12" s="183"/>
      <c r="BZ12" s="183"/>
      <c r="CA12" s="183"/>
      <c r="CF12" s="9"/>
      <c r="CY12" s="19" t="s">
        <v>25</v>
      </c>
      <c r="CZ12" s="110">
        <f>IMABS(CZ11)</f>
        <v>2353.0268853007628</v>
      </c>
      <c r="DA12" s="110"/>
      <c r="DB12" s="110"/>
      <c r="DC12" s="110"/>
      <c r="DD12" s="3" t="s">
        <v>9</v>
      </c>
      <c r="DE12" s="93">
        <f>DEGREES(IMARGUMENT(CZ11))</f>
        <v>-2.5443034168053651</v>
      </c>
      <c r="DF12" s="93"/>
      <c r="DG12" s="93"/>
      <c r="DH12" s="1" t="s">
        <v>30</v>
      </c>
      <c r="DJ12" s="3"/>
      <c r="DO12" s="2"/>
      <c r="DP12" s="2"/>
      <c r="DQ12" s="2"/>
      <c r="DT12" s="3"/>
      <c r="DU12" s="3"/>
      <c r="DV12" s="3"/>
      <c r="DW12" s="3"/>
      <c r="DX12" s="3"/>
      <c r="DY12" s="3"/>
      <c r="DZ12" s="3"/>
      <c r="EA12" s="3"/>
      <c r="EB12" s="3"/>
      <c r="EC12" s="3"/>
      <c r="EF12" s="19" t="s">
        <v>15</v>
      </c>
      <c r="EG12" s="111">
        <f>EG11/P38</f>
        <v>5.958095288697832</v>
      </c>
      <c r="EH12" s="111"/>
      <c r="EI12" s="111"/>
      <c r="EJ12" s="111"/>
      <c r="EK12" s="1"/>
      <c r="EL12" s="1"/>
      <c r="EM12" s="1"/>
      <c r="EN12" s="1"/>
      <c r="EO12" s="1"/>
      <c r="EP12" s="1"/>
      <c r="EQ12" s="1"/>
      <c r="ER12" s="1"/>
      <c r="FC12" s="1" t="s">
        <v>128</v>
      </c>
    </row>
    <row r="13" spans="2:159" ht="18" customHeight="1" x14ac:dyDescent="0.25">
      <c r="B13" s="7"/>
      <c r="C13" s="23"/>
      <c r="D13" s="23"/>
      <c r="AO13" s="23"/>
      <c r="AP13" s="9"/>
      <c r="AR13" s="7"/>
      <c r="AT13" s="19"/>
      <c r="AU13" s="19"/>
      <c r="AV13" s="19"/>
      <c r="AW13" s="19"/>
      <c r="AX13" s="19"/>
      <c r="AY13" s="19"/>
      <c r="AZ13" s="19"/>
      <c r="BA13" s="19"/>
      <c r="BB13" s="19"/>
      <c r="BC13" s="19"/>
      <c r="BD13" s="19"/>
      <c r="BE13" s="19"/>
      <c r="BF13" s="10" t="s">
        <v>31</v>
      </c>
      <c r="BH13" s="165" t="str">
        <f>ROUND(CZ12/1000,2)&amp;" kV"</f>
        <v>2.35 kV</v>
      </c>
      <c r="BI13" s="165"/>
      <c r="BJ13" s="165"/>
      <c r="BK13" s="165"/>
      <c r="BL13" s="165"/>
      <c r="BM13" s="165"/>
      <c r="BN13" s="165"/>
      <c r="BO13" s="165"/>
      <c r="BP13" s="165"/>
      <c r="BQ13" s="165"/>
      <c r="BR13" s="27"/>
      <c r="BS13" s="182" t="str">
        <f>ROUND(EG15/1000,2)&amp;" kV"</f>
        <v>3.67 kV</v>
      </c>
      <c r="BT13" s="182"/>
      <c r="BU13" s="182"/>
      <c r="BV13" s="182"/>
      <c r="BW13" s="182"/>
      <c r="BX13" s="182"/>
      <c r="BY13" s="182"/>
      <c r="BZ13" s="182"/>
      <c r="CA13" s="182"/>
      <c r="CF13" s="9"/>
      <c r="CY13" s="19" t="s">
        <v>32</v>
      </c>
      <c r="CZ13" s="111">
        <f>CZ12/(P36*1000)</f>
        <v>0.58825672132519069</v>
      </c>
      <c r="DA13" s="111"/>
      <c r="DB13" s="111"/>
      <c r="DC13" s="111"/>
      <c r="DO13" s="2"/>
      <c r="DP13" s="2"/>
      <c r="DQ13" s="2"/>
      <c r="DT13" s="3"/>
      <c r="DU13" s="3"/>
      <c r="DV13" s="3"/>
      <c r="DW13" s="3"/>
      <c r="DX13" s="3"/>
      <c r="DY13" s="3"/>
      <c r="DZ13" s="3"/>
      <c r="EA13" s="3"/>
      <c r="EB13" s="3"/>
      <c r="EC13" s="3"/>
      <c r="EF13" s="19" t="s">
        <v>33</v>
      </c>
      <c r="EG13" s="111">
        <f>(EG12/(P41/100))^2</f>
        <v>0.8402106383243384</v>
      </c>
      <c r="EH13" s="111"/>
      <c r="EI13" s="111"/>
      <c r="EJ13" s="111"/>
      <c r="EK13" s="1"/>
      <c r="EL13" s="1"/>
      <c r="EM13" s="1"/>
      <c r="EN13" s="1"/>
      <c r="EO13" s="1"/>
      <c r="EP13" s="1"/>
      <c r="EQ13" s="1"/>
      <c r="ER13" s="1"/>
      <c r="FC13" s="1" t="s">
        <v>128</v>
      </c>
    </row>
    <row r="14" spans="2:159" ht="18" customHeight="1" x14ac:dyDescent="0.3">
      <c r="B14" s="7"/>
      <c r="C14" s="28" t="s">
        <v>34</v>
      </c>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9"/>
      <c r="AR14" s="7"/>
      <c r="AT14" s="19"/>
      <c r="AU14" s="19"/>
      <c r="AV14" s="19"/>
      <c r="AW14" s="19"/>
      <c r="AX14" s="19"/>
      <c r="AY14" s="19"/>
      <c r="AZ14" s="19"/>
      <c r="BA14" s="19"/>
      <c r="BB14" s="19"/>
      <c r="BC14" s="19"/>
      <c r="BD14" s="19"/>
      <c r="BE14" s="19"/>
      <c r="BF14" s="19" t="s">
        <v>35</v>
      </c>
      <c r="BH14" s="125">
        <f>CZ13</f>
        <v>0.58825672132519069</v>
      </c>
      <c r="BI14" s="125"/>
      <c r="BJ14" s="125"/>
      <c r="BK14" s="125"/>
      <c r="BL14" s="125"/>
      <c r="BM14" s="125"/>
      <c r="BN14" s="125"/>
      <c r="BO14" s="125"/>
      <c r="BP14" s="125"/>
      <c r="BQ14" s="125"/>
      <c r="BS14" s="180">
        <f>EG16</f>
        <v>0.91663004441505114</v>
      </c>
      <c r="BT14" s="180"/>
      <c r="BU14" s="180"/>
      <c r="BV14" s="180"/>
      <c r="BW14" s="180"/>
      <c r="BX14" s="180"/>
      <c r="BY14" s="180"/>
      <c r="BZ14" s="180"/>
      <c r="CA14" s="180"/>
      <c r="CF14" s="9"/>
      <c r="CY14" s="19" t="s">
        <v>138</v>
      </c>
      <c r="CZ14" s="111">
        <f>CZ12/(P32*1000)</f>
        <v>0.56563146281268339</v>
      </c>
      <c r="DA14" s="111"/>
      <c r="DB14" s="111"/>
      <c r="DC14" s="111"/>
      <c r="DO14" s="2"/>
      <c r="DP14" s="2"/>
      <c r="DQ14" s="2"/>
      <c r="DT14" s="3"/>
      <c r="DU14" s="3"/>
      <c r="DV14" s="3"/>
      <c r="DW14" s="17"/>
      <c r="DX14" s="17"/>
      <c r="DY14" s="17"/>
      <c r="DZ14" s="17"/>
      <c r="EA14" s="17"/>
      <c r="EB14" s="17"/>
      <c r="EC14" s="17"/>
      <c r="ED14" s="17"/>
      <c r="EE14" s="17"/>
      <c r="EF14" s="16" t="s">
        <v>25</v>
      </c>
      <c r="EG14" s="179" t="str">
        <f>IMPRODUCT(CI80,EG7,"1.73+0i")</f>
        <v>3637.57329710177-459.815964709333i</v>
      </c>
      <c r="EH14" s="179"/>
      <c r="EI14" s="179"/>
      <c r="EJ14" s="179"/>
      <c r="EK14" s="179"/>
      <c r="EL14" s="179"/>
      <c r="EM14" s="179"/>
      <c r="EN14" s="179"/>
      <c r="EO14" s="179"/>
      <c r="EP14" s="179"/>
      <c r="EQ14" s="179"/>
      <c r="ER14" s="179"/>
      <c r="ES14" s="179"/>
      <c r="ET14" s="179"/>
      <c r="EU14" s="179"/>
      <c r="EV14" s="179"/>
      <c r="EW14" s="179"/>
      <c r="EX14" s="179"/>
      <c r="EY14" s="179"/>
      <c r="EZ14" s="179"/>
      <c r="FC14" s="1" t="s">
        <v>128</v>
      </c>
    </row>
    <row r="15" spans="2:159" ht="18" customHeight="1" x14ac:dyDescent="0.25">
      <c r="B15" s="7"/>
      <c r="D15" s="29"/>
      <c r="E15" s="29"/>
      <c r="F15" s="29"/>
      <c r="G15" s="29"/>
      <c r="H15" s="29"/>
      <c r="I15" s="29"/>
      <c r="J15" s="29"/>
      <c r="K15" s="29"/>
      <c r="AP15" s="9"/>
      <c r="AR15" s="7"/>
      <c r="AT15" s="19"/>
      <c r="AU15" s="19"/>
      <c r="AV15" s="19"/>
      <c r="AW15" s="19"/>
      <c r="AX15" s="19"/>
      <c r="AY15" s="19"/>
      <c r="AZ15" s="19"/>
      <c r="BA15" s="19"/>
      <c r="BB15" s="19"/>
      <c r="BC15" s="19"/>
      <c r="BD15" s="19"/>
      <c r="BE15" s="19"/>
      <c r="BF15" s="19" t="s">
        <v>37</v>
      </c>
      <c r="BH15" s="125">
        <f>CZ10</f>
        <v>0.3460459701842637</v>
      </c>
      <c r="BI15" s="125"/>
      <c r="BJ15" s="125"/>
      <c r="BK15" s="125"/>
      <c r="BL15" s="125"/>
      <c r="BM15" s="125"/>
      <c r="BN15" s="125"/>
      <c r="BO15" s="125"/>
      <c r="BP15" s="125"/>
      <c r="BQ15" s="125"/>
      <c r="BS15" s="180">
        <f>EG13</f>
        <v>0.8402106383243384</v>
      </c>
      <c r="BT15" s="180"/>
      <c r="BU15" s="180"/>
      <c r="BV15" s="180"/>
      <c r="BW15" s="180"/>
      <c r="BX15" s="180"/>
      <c r="BY15" s="180"/>
      <c r="BZ15" s="180"/>
      <c r="CA15" s="180"/>
      <c r="CF15" s="9"/>
      <c r="CY15" s="19" t="s">
        <v>38</v>
      </c>
      <c r="CZ15" s="98">
        <f>1-CZ14</f>
        <v>0.43436853718731661</v>
      </c>
      <c r="DA15" s="100"/>
      <c r="DB15" s="100"/>
      <c r="DC15" s="100"/>
      <c r="DO15" s="2"/>
      <c r="DP15" s="2"/>
      <c r="DQ15" s="2"/>
      <c r="DT15" s="3"/>
      <c r="DU15" s="3"/>
      <c r="DV15" s="3"/>
      <c r="DW15" s="3"/>
      <c r="DX15" s="3"/>
      <c r="DY15" s="3"/>
      <c r="DZ15" s="3"/>
      <c r="EA15" s="3"/>
      <c r="EB15" s="3"/>
      <c r="EC15" s="3"/>
      <c r="EF15" s="19" t="s">
        <v>25</v>
      </c>
      <c r="EG15" s="110">
        <f>IMABS(EG14)</f>
        <v>3666.5201776602044</v>
      </c>
      <c r="EH15" s="110"/>
      <c r="EI15" s="110"/>
      <c r="EJ15" s="110"/>
      <c r="EK15" s="3" t="s">
        <v>9</v>
      </c>
      <c r="EL15" s="93">
        <f>DEGREES(IMARGUMENT(EG14))</f>
        <v>-7.2043966605351875</v>
      </c>
      <c r="EM15" s="93"/>
      <c r="EN15" s="93"/>
      <c r="EO15" s="1" t="s">
        <v>30</v>
      </c>
      <c r="EP15" s="1"/>
      <c r="ER15" s="1"/>
      <c r="EV15" s="2"/>
      <c r="EW15" s="2"/>
      <c r="EX15" s="2"/>
      <c r="FC15" s="1" t="s">
        <v>128</v>
      </c>
    </row>
    <row r="16" spans="2:159" ht="18" customHeight="1" x14ac:dyDescent="0.25">
      <c r="B16" s="7"/>
      <c r="AP16" s="9"/>
      <c r="AR16" s="7"/>
      <c r="CF16" s="9"/>
      <c r="CY16" s="19" t="s">
        <v>139</v>
      </c>
      <c r="CZ16" s="100">
        <f>P27/P32</f>
        <v>2.9975961538461537</v>
      </c>
      <c r="DA16" s="100"/>
      <c r="DB16" s="100"/>
      <c r="DC16" s="100"/>
      <c r="DO16" s="2"/>
      <c r="DP16" s="2"/>
      <c r="DQ16" s="2"/>
      <c r="DT16" s="3"/>
      <c r="DU16" s="3"/>
      <c r="DV16" s="3"/>
      <c r="DW16" s="3"/>
      <c r="DX16" s="3"/>
      <c r="DY16" s="3"/>
      <c r="DZ16" s="3"/>
      <c r="EA16" s="3"/>
      <c r="EB16" s="3"/>
      <c r="EC16" s="3"/>
      <c r="EF16" s="19" t="s">
        <v>32</v>
      </c>
      <c r="EG16" s="111">
        <f>EG15/(P36*1000)</f>
        <v>0.91663004441505114</v>
      </c>
      <c r="EH16" s="111"/>
      <c r="EI16" s="111"/>
      <c r="EJ16" s="111"/>
      <c r="EK16" s="1"/>
      <c r="EL16" s="1"/>
      <c r="EM16" s="1"/>
      <c r="EN16" s="1"/>
      <c r="EO16" s="1"/>
      <c r="EP16" s="1"/>
      <c r="EQ16" s="1"/>
      <c r="ER16" s="1"/>
      <c r="EV16" s="2"/>
      <c r="EW16" s="2"/>
      <c r="EX16" s="2"/>
      <c r="FA16" s="3"/>
      <c r="FC16" s="1" t="s">
        <v>128</v>
      </c>
    </row>
    <row r="17" spans="2:159" ht="18" customHeight="1" x14ac:dyDescent="0.25">
      <c r="B17" s="7"/>
      <c r="AP17" s="9"/>
      <c r="AR17" s="7"/>
      <c r="AS17" s="18" t="s">
        <v>41</v>
      </c>
      <c r="CF17" s="9"/>
      <c r="CS17" s="15"/>
      <c r="CT17" s="15"/>
      <c r="CU17" s="15"/>
      <c r="CV17" s="15"/>
      <c r="CW17" s="15"/>
      <c r="CX17" s="15"/>
      <c r="CY17" s="16" t="s">
        <v>140</v>
      </c>
      <c r="CZ17" s="118" t="str">
        <f>IMPRODUCT(IMSUM(CI71,CI67),CZ7,"1.73+0i",CZ16)</f>
        <v>8859.56298574603-100.059780914041i</v>
      </c>
      <c r="DA17" s="118"/>
      <c r="DB17" s="118"/>
      <c r="DC17" s="118"/>
      <c r="DD17" s="118"/>
      <c r="DE17" s="118"/>
      <c r="DF17" s="118"/>
      <c r="DG17" s="118"/>
      <c r="DH17" s="118"/>
      <c r="DI17" s="118"/>
      <c r="DJ17" s="118"/>
      <c r="DK17" s="118"/>
      <c r="DL17" s="118"/>
      <c r="DM17" s="118"/>
      <c r="DN17" s="118"/>
      <c r="DO17" s="118"/>
      <c r="DP17" s="118"/>
      <c r="DQ17" s="118"/>
      <c r="DR17" s="118"/>
      <c r="DS17" s="118"/>
      <c r="DT17" s="118"/>
      <c r="DU17" s="3"/>
      <c r="DV17" s="3"/>
      <c r="DW17" s="3"/>
      <c r="DX17" s="3"/>
      <c r="DY17" s="3"/>
      <c r="DZ17" s="3"/>
      <c r="EA17" s="3"/>
      <c r="EB17" s="3"/>
      <c r="EC17" s="3"/>
      <c r="EF17" s="19" t="s">
        <v>141</v>
      </c>
      <c r="EG17" s="111">
        <f>EG15/(P32*1000)</f>
        <v>0.88137504270677991</v>
      </c>
      <c r="EH17" s="111"/>
      <c r="EI17" s="111"/>
      <c r="EJ17" s="111"/>
      <c r="EK17" s="1"/>
      <c r="EL17" s="1"/>
      <c r="EM17" s="1"/>
      <c r="EN17" s="1"/>
      <c r="EO17" s="1"/>
      <c r="EP17" s="1"/>
      <c r="EQ17" s="1"/>
      <c r="ER17" s="1"/>
      <c r="EV17" s="2"/>
      <c r="EW17" s="2"/>
      <c r="EX17" s="2"/>
      <c r="FA17" s="3"/>
      <c r="FC17" s="1" t="s">
        <v>128</v>
      </c>
    </row>
    <row r="18" spans="2:159" ht="18" customHeight="1" x14ac:dyDescent="0.25">
      <c r="B18" s="7"/>
      <c r="AP18" s="9"/>
      <c r="AR18" s="7"/>
      <c r="BH18" s="144" t="s">
        <v>13</v>
      </c>
      <c r="BI18" s="144"/>
      <c r="BJ18" s="144"/>
      <c r="BK18" s="144"/>
      <c r="BL18" s="144"/>
      <c r="BM18" s="144"/>
      <c r="BN18" s="144"/>
      <c r="BO18" s="144"/>
      <c r="BP18" s="144"/>
      <c r="BQ18" s="144"/>
      <c r="BS18" s="146" t="s">
        <v>14</v>
      </c>
      <c r="BT18" s="146"/>
      <c r="BU18" s="146"/>
      <c r="BV18" s="146"/>
      <c r="BW18" s="146"/>
      <c r="BX18" s="146"/>
      <c r="BY18" s="146"/>
      <c r="BZ18" s="146"/>
      <c r="CA18" s="146"/>
      <c r="CF18" s="9"/>
      <c r="CY18" s="19" t="s">
        <v>140</v>
      </c>
      <c r="CZ18" s="110">
        <f>IMABS(CZ17)</f>
        <v>8860.1280046147021</v>
      </c>
      <c r="DA18" s="110"/>
      <c r="DB18" s="110"/>
      <c r="DC18" s="110"/>
      <c r="DD18" s="3" t="s">
        <v>9</v>
      </c>
      <c r="DE18" s="93">
        <f>DEGREES(IMARGUMENT(CZ17))</f>
        <v>-0.64707022425322991</v>
      </c>
      <c r="DF18" s="93"/>
      <c r="DG18" s="93"/>
      <c r="DH18" s="1" t="s">
        <v>30</v>
      </c>
      <c r="DO18" s="2"/>
      <c r="DP18" s="2"/>
      <c r="DQ18" s="2"/>
      <c r="DT18" s="3"/>
      <c r="DU18" s="3"/>
      <c r="DV18" s="3"/>
      <c r="DW18" s="3"/>
      <c r="DX18" s="3"/>
      <c r="DY18" s="3"/>
      <c r="DZ18" s="3"/>
      <c r="EA18" s="3"/>
      <c r="EB18" s="3"/>
      <c r="EC18" s="3"/>
      <c r="EF18" s="19" t="s">
        <v>38</v>
      </c>
      <c r="EG18" s="98">
        <f>1-EG17</f>
        <v>0.11862495729322009</v>
      </c>
      <c r="EH18" s="100"/>
      <c r="EI18" s="100"/>
      <c r="EJ18" s="100"/>
      <c r="EK18" s="1"/>
      <c r="EL18" s="1"/>
      <c r="EM18" s="1"/>
      <c r="EN18" s="1"/>
      <c r="EO18" s="1"/>
      <c r="EP18" s="1"/>
      <c r="EQ18" s="1"/>
      <c r="ER18" s="1"/>
      <c r="EV18" s="2"/>
      <c r="EW18" s="2"/>
      <c r="EX18" s="2"/>
      <c r="FA18" s="3"/>
      <c r="FC18" s="1" t="s">
        <v>128</v>
      </c>
    </row>
    <row r="19" spans="2:159" ht="18" customHeight="1" x14ac:dyDescent="0.25">
      <c r="B19" s="7"/>
      <c r="AP19" s="9"/>
      <c r="AR19" s="7"/>
      <c r="AS19" s="155" t="s">
        <v>142</v>
      </c>
      <c r="AT19" s="155"/>
      <c r="AU19" s="155"/>
      <c r="AV19" s="155"/>
      <c r="AW19" s="155"/>
      <c r="AX19" s="155"/>
      <c r="AY19" s="155"/>
      <c r="AZ19" s="155"/>
      <c r="BA19" s="155"/>
      <c r="BB19" s="155"/>
      <c r="BC19" s="155"/>
      <c r="BD19" s="155"/>
      <c r="BE19" s="155"/>
      <c r="BF19" s="155"/>
      <c r="BH19" s="145"/>
      <c r="BI19" s="145"/>
      <c r="BJ19" s="145"/>
      <c r="BK19" s="145"/>
      <c r="BL19" s="145"/>
      <c r="BM19" s="145"/>
      <c r="BN19" s="145"/>
      <c r="BO19" s="145"/>
      <c r="BP19" s="145"/>
      <c r="BQ19" s="145"/>
      <c r="BS19" s="147"/>
      <c r="BT19" s="147"/>
      <c r="BU19" s="147"/>
      <c r="BV19" s="147"/>
      <c r="BW19" s="147"/>
      <c r="BX19" s="147"/>
      <c r="BY19" s="147"/>
      <c r="BZ19" s="147"/>
      <c r="CA19" s="147"/>
      <c r="CF19" s="9"/>
      <c r="CY19" s="19" t="s">
        <v>143</v>
      </c>
      <c r="CZ19" s="111">
        <f>CZ18/(P27*1000)</f>
        <v>0.71051547751521271</v>
      </c>
      <c r="DA19" s="111"/>
      <c r="DB19" s="111"/>
      <c r="DC19" s="111"/>
      <c r="DO19" s="2"/>
      <c r="DP19" s="2"/>
      <c r="DQ19" s="2"/>
      <c r="DT19" s="3"/>
      <c r="DU19" s="3"/>
      <c r="DV19" s="3"/>
      <c r="DW19" s="3"/>
      <c r="DX19" s="3"/>
      <c r="DY19" s="3"/>
      <c r="DZ19" s="3"/>
      <c r="EA19" s="3"/>
      <c r="EB19" s="3"/>
      <c r="EC19" s="3"/>
      <c r="EF19" s="19" t="s">
        <v>144</v>
      </c>
      <c r="EG19" s="100">
        <f>CZ16</f>
        <v>2.9975961538461537</v>
      </c>
      <c r="EH19" s="100"/>
      <c r="EI19" s="100"/>
      <c r="EJ19" s="100"/>
      <c r="EK19" s="1"/>
      <c r="EL19" s="1"/>
      <c r="EM19" s="1"/>
      <c r="EN19" s="1"/>
      <c r="EO19" s="1"/>
      <c r="EP19" s="1"/>
      <c r="EQ19" s="1"/>
      <c r="ER19" s="1"/>
      <c r="EV19" s="2"/>
      <c r="EW19" s="2"/>
      <c r="EX19" s="2"/>
      <c r="FA19" s="3"/>
    </row>
    <row r="20" spans="2:159" ht="18" customHeight="1" x14ac:dyDescent="0.3">
      <c r="B20" s="7"/>
      <c r="C20" s="28" t="s">
        <v>42</v>
      </c>
      <c r="AP20" s="9"/>
      <c r="AR20" s="7"/>
      <c r="AS20" s="22"/>
      <c r="BF20" s="19" t="str">
        <f>"Voltage at Primary (PCC) "&amp;P22&amp;" kV Bus:"</f>
        <v>Voltage at Primary (PCC) 34.5 kV Bus:</v>
      </c>
      <c r="BH20" s="188" t="str">
        <f>ROUND(CZ23/1000,2)&amp;" kV"</f>
        <v>25.69 kV</v>
      </c>
      <c r="BI20" s="186"/>
      <c r="BJ20" s="186"/>
      <c r="BK20" s="186"/>
      <c r="BL20" s="186"/>
      <c r="BM20" s="186"/>
      <c r="BN20" s="186"/>
      <c r="BO20" s="186"/>
      <c r="BP20" s="186"/>
      <c r="BQ20" s="186"/>
      <c r="BS20" s="189" t="str">
        <f>ROUND(EG26/1000,2)&amp;" kV"</f>
        <v>31.94 kV</v>
      </c>
      <c r="BT20" s="187"/>
      <c r="BU20" s="187"/>
      <c r="BV20" s="187"/>
      <c r="BW20" s="187"/>
      <c r="BX20" s="187"/>
      <c r="BY20" s="187"/>
      <c r="BZ20" s="187"/>
      <c r="CA20" s="187"/>
      <c r="CF20" s="9"/>
      <c r="CY20" s="19" t="s">
        <v>145</v>
      </c>
      <c r="CZ20" s="98">
        <f>1-CZ19</f>
        <v>0.28948452248478729</v>
      </c>
      <c r="DA20" s="100"/>
      <c r="DB20" s="100"/>
      <c r="DC20" s="100"/>
      <c r="DO20" s="2"/>
      <c r="DP20" s="2"/>
      <c r="DQ20" s="2"/>
      <c r="DT20" s="3"/>
      <c r="DU20" s="3"/>
      <c r="DV20" s="3"/>
      <c r="DW20" s="3"/>
      <c r="DX20" s="3"/>
      <c r="DY20" s="3"/>
      <c r="DZ20" s="3"/>
      <c r="EA20" s="3"/>
      <c r="EB20" s="3"/>
      <c r="EC20" s="3"/>
      <c r="EF20" s="19" t="s">
        <v>146</v>
      </c>
      <c r="EG20" s="179" t="str">
        <f>IMPRODUCT(IMSUM(CI67,CI80),EG7,"1.73+0i",EG19)</f>
        <v>11401.8477227741-884.785692186673i</v>
      </c>
      <c r="EH20" s="179"/>
      <c r="EI20" s="179"/>
      <c r="EJ20" s="179"/>
      <c r="EK20" s="179"/>
      <c r="EL20" s="179"/>
      <c r="EM20" s="179"/>
      <c r="EN20" s="179"/>
      <c r="EO20" s="179"/>
      <c r="EP20" s="179"/>
      <c r="EQ20" s="179"/>
      <c r="ER20" s="179"/>
      <c r="ES20" s="179"/>
      <c r="ET20" s="179"/>
      <c r="EU20" s="179"/>
      <c r="EV20" s="179"/>
      <c r="EW20" s="179"/>
      <c r="EX20" s="179"/>
      <c r="EY20" s="179"/>
      <c r="EZ20" s="179"/>
      <c r="FA20" s="179"/>
    </row>
    <row r="21" spans="2:159" ht="18" customHeight="1" x14ac:dyDescent="0.3">
      <c r="B21" s="7"/>
      <c r="C21" s="106" t="s">
        <v>45</v>
      </c>
      <c r="D21" s="106"/>
      <c r="E21" s="106"/>
      <c r="F21" s="106"/>
      <c r="G21" s="106"/>
      <c r="H21" s="106"/>
      <c r="I21" s="106"/>
      <c r="J21" s="106"/>
      <c r="K21" s="106"/>
      <c r="L21" s="106"/>
      <c r="M21" s="106"/>
      <c r="N21" s="106"/>
      <c r="O21" s="106"/>
      <c r="P21" s="106"/>
      <c r="Q21" s="106"/>
      <c r="R21" s="106"/>
      <c r="S21" s="106"/>
      <c r="T21" s="106"/>
      <c r="W21" s="106" t="s">
        <v>46</v>
      </c>
      <c r="X21" s="106"/>
      <c r="Y21" s="106"/>
      <c r="Z21" s="106"/>
      <c r="AA21" s="106"/>
      <c r="AB21" s="106"/>
      <c r="AC21" s="106"/>
      <c r="AD21" s="106"/>
      <c r="AE21" s="106"/>
      <c r="AF21" s="106"/>
      <c r="AG21" s="106"/>
      <c r="AH21" s="106"/>
      <c r="AI21" s="106"/>
      <c r="AJ21" s="106"/>
      <c r="AK21" s="106"/>
      <c r="AL21" s="106"/>
      <c r="AM21" s="106"/>
      <c r="AN21" s="106"/>
      <c r="AO21" s="106"/>
      <c r="AP21" s="9"/>
      <c r="AR21" s="7"/>
      <c r="BF21" s="19" t="s">
        <v>49</v>
      </c>
      <c r="BH21" s="185">
        <f>CZ24</f>
        <v>0.74453654292312221</v>
      </c>
      <c r="BI21" s="186"/>
      <c r="BJ21" s="186"/>
      <c r="BK21" s="186"/>
      <c r="BL21" s="186"/>
      <c r="BM21" s="186"/>
      <c r="BN21" s="186"/>
      <c r="BO21" s="186"/>
      <c r="BP21" s="186"/>
      <c r="BQ21" s="186"/>
      <c r="BS21" s="126">
        <f>EG27</f>
        <v>0.92570623971685539</v>
      </c>
      <c r="BT21" s="187"/>
      <c r="BU21" s="187"/>
      <c r="BV21" s="187"/>
      <c r="BW21" s="187"/>
      <c r="BX21" s="187"/>
      <c r="BY21" s="187"/>
      <c r="BZ21" s="187"/>
      <c r="CA21" s="187"/>
      <c r="CF21" s="9"/>
      <c r="CY21" s="19" t="s">
        <v>147</v>
      </c>
      <c r="CZ21" s="100">
        <f>P22/P27</f>
        <v>2.7666399358460305</v>
      </c>
      <c r="DA21" s="100"/>
      <c r="DB21" s="100"/>
      <c r="DC21" s="100"/>
      <c r="DU21" s="3"/>
      <c r="DV21" s="3"/>
      <c r="DW21" s="3"/>
      <c r="DX21" s="3"/>
      <c r="DY21" s="3"/>
      <c r="DZ21" s="3"/>
      <c r="EA21" s="3"/>
      <c r="EB21" s="3"/>
      <c r="EC21" s="3"/>
      <c r="EF21" s="19" t="s">
        <v>40</v>
      </c>
      <c r="EG21" s="110">
        <f>IMABS(EG20)</f>
        <v>11436.125970556077</v>
      </c>
      <c r="EH21" s="110"/>
      <c r="EI21" s="110"/>
      <c r="EJ21" s="110"/>
      <c r="EK21" s="3" t="s">
        <v>9</v>
      </c>
      <c r="EL21" s="93">
        <f>DEGREES(IMARGUMENT(EG20))</f>
        <v>-4.4372715757488752</v>
      </c>
      <c r="EM21" s="93"/>
      <c r="EN21" s="93"/>
      <c r="EO21" s="1" t="s">
        <v>30</v>
      </c>
      <c r="EP21" s="1"/>
      <c r="EQ21" s="1"/>
      <c r="ER21" s="1"/>
      <c r="EV21" s="2"/>
      <c r="EW21" s="2"/>
      <c r="EX21" s="2"/>
      <c r="FA21" s="3"/>
    </row>
    <row r="22" spans="2:159" ht="18" customHeight="1" x14ac:dyDescent="0.25">
      <c r="B22" s="7"/>
      <c r="C22" s="23"/>
      <c r="D22" s="23"/>
      <c r="E22" s="23"/>
      <c r="F22" s="23"/>
      <c r="G22" s="23"/>
      <c r="H22" s="23"/>
      <c r="I22" s="23"/>
      <c r="K22" s="23"/>
      <c r="L22" s="30"/>
      <c r="M22" s="23"/>
      <c r="N22" s="10"/>
      <c r="O22" s="10" t="s">
        <v>47</v>
      </c>
      <c r="P22" s="117">
        <v>34.5</v>
      </c>
      <c r="Q22" s="117"/>
      <c r="R22" s="117"/>
      <c r="S22" s="23" t="s">
        <v>48</v>
      </c>
      <c r="T22" s="23"/>
      <c r="U22" s="23"/>
      <c r="V22" s="23"/>
      <c r="W22" s="23"/>
      <c r="X22" s="23"/>
      <c r="Y22" s="23"/>
      <c r="Z22" s="23"/>
      <c r="AA22" s="23"/>
      <c r="AB22" s="23"/>
      <c r="AC22" s="23"/>
      <c r="AD22" s="23"/>
      <c r="AE22" s="23"/>
      <c r="AF22" s="23"/>
      <c r="AG22" s="30"/>
      <c r="AH22" s="23"/>
      <c r="AI22" s="23"/>
      <c r="AJ22" s="30"/>
      <c r="AK22" s="23"/>
      <c r="AL22" s="23"/>
      <c r="AM22" s="23"/>
      <c r="AN22" s="23"/>
      <c r="AO22" s="23"/>
      <c r="AP22" s="9"/>
      <c r="AR22" s="7"/>
      <c r="BF22" s="19" t="s">
        <v>52</v>
      </c>
      <c r="BH22" s="185">
        <f>CZ25</f>
        <v>0.25546345707687779</v>
      </c>
      <c r="BI22" s="186"/>
      <c r="BJ22" s="186"/>
      <c r="BK22" s="186"/>
      <c r="BL22" s="186"/>
      <c r="BM22" s="186"/>
      <c r="BN22" s="186"/>
      <c r="BO22" s="186"/>
      <c r="BP22" s="186"/>
      <c r="BQ22" s="186"/>
      <c r="BS22" s="126">
        <f>EG28</f>
        <v>7.4293760283144605E-2</v>
      </c>
      <c r="BT22" s="187"/>
      <c r="BU22" s="187"/>
      <c r="BV22" s="187"/>
      <c r="BW22" s="187"/>
      <c r="BX22" s="187"/>
      <c r="BY22" s="187"/>
      <c r="BZ22" s="187"/>
      <c r="CA22" s="187"/>
      <c r="CF22" s="9"/>
      <c r="CU22" s="32"/>
      <c r="CV22" s="32"/>
      <c r="CW22" s="32"/>
      <c r="CX22" s="32"/>
      <c r="CY22" s="55" t="s">
        <v>148</v>
      </c>
      <c r="CZ22" s="179" t="str">
        <f>IMPRODUCT(IMSUM(CI71,CI67,CI63),CZ7,"1.73+0i",CZ16,CZ21)</f>
        <v>25686.1679713265-132.696928206498i</v>
      </c>
      <c r="DA22" s="179"/>
      <c r="DB22" s="179"/>
      <c r="DC22" s="179"/>
      <c r="DD22" s="179"/>
      <c r="DE22" s="179"/>
      <c r="DF22" s="179"/>
      <c r="DG22" s="179"/>
      <c r="DH22" s="179"/>
      <c r="DI22" s="179"/>
      <c r="DJ22" s="179"/>
      <c r="DK22" s="179"/>
      <c r="DL22" s="179"/>
      <c r="DM22" s="179"/>
      <c r="DN22" s="179"/>
      <c r="DO22" s="179"/>
      <c r="DP22" s="179"/>
      <c r="DQ22" s="179"/>
      <c r="DR22" s="179"/>
      <c r="DS22" s="179"/>
      <c r="DT22" s="179"/>
      <c r="DU22" s="3"/>
      <c r="DV22" s="3"/>
      <c r="DW22" s="3"/>
      <c r="DX22" s="3"/>
      <c r="DY22" s="3"/>
      <c r="DZ22" s="3"/>
      <c r="EA22" s="3"/>
      <c r="EB22" s="3"/>
      <c r="EC22" s="3"/>
      <c r="EF22" s="19" t="s">
        <v>43</v>
      </c>
      <c r="EG22" s="111">
        <f>EG21/(P27*1000)</f>
        <v>0.91709109627554752</v>
      </c>
      <c r="EH22" s="111"/>
      <c r="EI22" s="111"/>
      <c r="EJ22" s="111"/>
      <c r="EK22" s="1"/>
      <c r="EL22" s="1"/>
      <c r="EM22" s="1"/>
      <c r="EN22" s="1"/>
      <c r="EO22" s="1"/>
      <c r="EP22" s="1"/>
      <c r="EQ22" s="1"/>
      <c r="ER22" s="1"/>
      <c r="EV22" s="2"/>
      <c r="EW22" s="2"/>
      <c r="EX22" s="2"/>
      <c r="FA22" s="3"/>
    </row>
    <row r="23" spans="2:159" ht="18" customHeight="1" x14ac:dyDescent="0.25">
      <c r="B23" s="7"/>
      <c r="C23" s="23"/>
      <c r="D23" s="23"/>
      <c r="E23" s="23"/>
      <c r="F23" s="23"/>
      <c r="G23" s="23"/>
      <c r="H23" s="23"/>
      <c r="I23" s="23"/>
      <c r="J23" s="23"/>
      <c r="K23" s="23"/>
      <c r="L23" s="30"/>
      <c r="M23" s="23"/>
      <c r="N23" s="23"/>
      <c r="O23" s="10" t="s">
        <v>50</v>
      </c>
      <c r="P23" s="117">
        <v>1.2</v>
      </c>
      <c r="Q23" s="117"/>
      <c r="R23" s="117"/>
      <c r="S23" s="23" t="s">
        <v>51</v>
      </c>
      <c r="T23" s="23"/>
      <c r="U23" s="23"/>
      <c r="V23" s="23"/>
      <c r="W23" s="23"/>
      <c r="AP23" s="9"/>
      <c r="AR23" s="7"/>
      <c r="BH23" s="76"/>
      <c r="BI23" s="76"/>
      <c r="BJ23" s="76"/>
      <c r="BK23" s="76"/>
      <c r="BL23" s="76"/>
      <c r="BM23" s="76"/>
      <c r="BN23" s="76"/>
      <c r="BO23" s="76"/>
      <c r="BP23" s="76"/>
      <c r="BQ23" s="76"/>
      <c r="BS23" s="20"/>
      <c r="BT23" s="20"/>
      <c r="BU23" s="20"/>
      <c r="BV23" s="20"/>
      <c r="BW23" s="20"/>
      <c r="BX23" s="20"/>
      <c r="BY23" s="20"/>
      <c r="BZ23" s="20"/>
      <c r="CA23" s="20"/>
      <c r="CF23" s="9"/>
      <c r="CY23" s="19" t="s">
        <v>148</v>
      </c>
      <c r="CZ23" s="110">
        <f>IMABS(CZ22)</f>
        <v>25686.510730847716</v>
      </c>
      <c r="DA23" s="110"/>
      <c r="DB23" s="110"/>
      <c r="DC23" s="110"/>
      <c r="DD23" s="3" t="s">
        <v>9</v>
      </c>
      <c r="DE23" s="93">
        <f>DEGREES(IMARGUMENT(CZ22))</f>
        <v>-0.29599223648288842</v>
      </c>
      <c r="DF23" s="93"/>
      <c r="DG23" s="93"/>
      <c r="DH23" s="1" t="s">
        <v>30</v>
      </c>
      <c r="DU23" s="3"/>
      <c r="DV23" s="3"/>
      <c r="DW23" s="3"/>
      <c r="DX23" s="3"/>
      <c r="DY23" s="3"/>
      <c r="DZ23" s="3"/>
      <c r="EA23" s="3"/>
      <c r="EB23" s="3"/>
      <c r="EC23" s="3"/>
      <c r="EF23" s="19" t="s">
        <v>44</v>
      </c>
      <c r="EG23" s="98">
        <f>1-EG22</f>
        <v>8.2908903724452476E-2</v>
      </c>
      <c r="EH23" s="100"/>
      <c r="EI23" s="100"/>
      <c r="EJ23" s="100"/>
      <c r="EK23" s="1"/>
      <c r="EL23" s="1"/>
      <c r="EM23" s="1"/>
      <c r="EN23" s="1"/>
      <c r="EO23" s="1"/>
      <c r="EP23" s="1"/>
      <c r="EQ23" s="1"/>
      <c r="ER23" s="1"/>
      <c r="EV23" s="2"/>
      <c r="EW23" s="2"/>
      <c r="EX23" s="2"/>
      <c r="FA23" s="3"/>
    </row>
    <row r="24" spans="2:159" ht="18" customHeight="1" x14ac:dyDescent="0.25">
      <c r="B24" s="7"/>
      <c r="C24" s="23"/>
      <c r="D24" s="23"/>
      <c r="E24" s="23"/>
      <c r="F24" s="23"/>
      <c r="G24" s="23"/>
      <c r="H24" s="23"/>
      <c r="I24" s="23"/>
      <c r="J24" s="23"/>
      <c r="K24" s="23"/>
      <c r="L24" s="30"/>
      <c r="M24" s="23"/>
      <c r="N24" s="23"/>
      <c r="O24" s="10" t="s">
        <v>54</v>
      </c>
      <c r="P24" s="117">
        <v>7</v>
      </c>
      <c r="Q24" s="117"/>
      <c r="R24" s="117"/>
      <c r="S24" s="23"/>
      <c r="T24" s="23"/>
      <c r="U24" s="23"/>
      <c r="AP24" s="9"/>
      <c r="AR24" s="7"/>
      <c r="BB24" s="19"/>
      <c r="BC24" s="19"/>
      <c r="BD24" s="19"/>
      <c r="BE24" s="19"/>
      <c r="BF24" s="19" t="str">
        <f>"Voltage at "&amp;P27&amp;" kV Secondary Bus:"</f>
        <v>Voltage at 12.47 kV Secondary Bus:</v>
      </c>
      <c r="BH24" s="190" t="str">
        <f>ROUND(CZ18/1000,2)&amp;" kV"</f>
        <v>8.86 kV</v>
      </c>
      <c r="BI24" s="190"/>
      <c r="BJ24" s="190"/>
      <c r="BK24" s="190"/>
      <c r="BL24" s="190"/>
      <c r="BM24" s="190"/>
      <c r="BN24" s="190"/>
      <c r="BO24" s="190"/>
      <c r="BP24" s="190"/>
      <c r="BQ24" s="190"/>
      <c r="BS24" s="139" t="str">
        <f>ROUND(EG21/1000,2)&amp;" kV"</f>
        <v>11.44 kV</v>
      </c>
      <c r="BT24" s="139"/>
      <c r="BU24" s="139"/>
      <c r="BV24" s="139"/>
      <c r="BW24" s="139"/>
      <c r="BX24" s="139"/>
      <c r="BY24" s="139"/>
      <c r="BZ24" s="139"/>
      <c r="CA24" s="139"/>
      <c r="CF24" s="9"/>
      <c r="CY24" s="19" t="s">
        <v>149</v>
      </c>
      <c r="CZ24" s="111">
        <f>CZ23/(P22*1000)</f>
        <v>0.74453654292312221</v>
      </c>
      <c r="DA24" s="111"/>
      <c r="DB24" s="111"/>
      <c r="DC24" s="111"/>
      <c r="DY24" s="1"/>
      <c r="DZ24" s="1"/>
      <c r="EA24" s="1"/>
      <c r="ED24" s="1"/>
      <c r="EE24" s="1"/>
      <c r="EF24" s="19" t="s">
        <v>147</v>
      </c>
      <c r="EG24" s="93">
        <f>CZ21</f>
        <v>2.7666399358460305</v>
      </c>
      <c r="EH24" s="93"/>
      <c r="EI24" s="93"/>
      <c r="EJ24" s="93"/>
    </row>
    <row r="25" spans="2:159" ht="18" customHeight="1" x14ac:dyDescent="0.3">
      <c r="B25" s="7"/>
      <c r="C25" s="106" t="s">
        <v>57</v>
      </c>
      <c r="D25" s="106"/>
      <c r="E25" s="106"/>
      <c r="F25" s="106"/>
      <c r="G25" s="106"/>
      <c r="H25" s="106"/>
      <c r="I25" s="106"/>
      <c r="J25" s="106"/>
      <c r="K25" s="106"/>
      <c r="L25" s="106"/>
      <c r="M25" s="106"/>
      <c r="N25" s="106"/>
      <c r="O25" s="106"/>
      <c r="P25" s="106"/>
      <c r="Q25" s="106"/>
      <c r="R25" s="106"/>
      <c r="S25" s="106"/>
      <c r="T25" s="106"/>
      <c r="U25" s="23"/>
      <c r="V25" s="23"/>
      <c r="AP25" s="33"/>
      <c r="AR25" s="7"/>
      <c r="BF25" s="19" t="s">
        <v>49</v>
      </c>
      <c r="BH25" s="185">
        <f>CZ19</f>
        <v>0.71051547751521271</v>
      </c>
      <c r="BI25" s="186"/>
      <c r="BJ25" s="186"/>
      <c r="BK25" s="186"/>
      <c r="BL25" s="186"/>
      <c r="BM25" s="186"/>
      <c r="BN25" s="186"/>
      <c r="BO25" s="186"/>
      <c r="BP25" s="186"/>
      <c r="BQ25" s="186"/>
      <c r="BS25" s="126">
        <f>EG22</f>
        <v>0.91709109627554752</v>
      </c>
      <c r="BT25" s="187"/>
      <c r="BU25" s="187"/>
      <c r="BV25" s="187"/>
      <c r="BW25" s="187"/>
      <c r="BX25" s="187"/>
      <c r="BY25" s="187"/>
      <c r="BZ25" s="187"/>
      <c r="CA25" s="187"/>
      <c r="CF25" s="9"/>
      <c r="CY25" s="19" t="s">
        <v>150</v>
      </c>
      <c r="CZ25" s="98">
        <f>1-CZ24</f>
        <v>0.25546345707687779</v>
      </c>
      <c r="DA25" s="100"/>
      <c r="DB25" s="100"/>
      <c r="DC25" s="100"/>
      <c r="DY25" s="1"/>
      <c r="DZ25" s="1"/>
      <c r="EA25" s="1"/>
      <c r="EB25" s="32"/>
      <c r="EC25" s="32"/>
      <c r="ED25" s="32"/>
      <c r="EE25" s="32"/>
      <c r="EF25" s="55" t="s">
        <v>148</v>
      </c>
      <c r="EG25" s="198" t="str">
        <f>IMPRODUCT(IMSUM(CI80,CI67,CI63),EG7,"1.73+0i",CZ16,CZ21)</f>
        <v>31866.0102140006-2126.20702899064i</v>
      </c>
      <c r="EH25" s="198"/>
      <c r="EI25" s="198"/>
      <c r="EJ25" s="198"/>
      <c r="EK25" s="198"/>
      <c r="EL25" s="198"/>
      <c r="EM25" s="198"/>
      <c r="EN25" s="198"/>
      <c r="EO25" s="198"/>
      <c r="EP25" s="198"/>
      <c r="EQ25" s="198"/>
      <c r="ER25" s="198"/>
      <c r="ES25" s="198"/>
      <c r="ET25" s="198"/>
      <c r="EU25" s="198"/>
      <c r="EV25" s="198"/>
      <c r="EW25" s="198"/>
      <c r="EX25" s="198"/>
      <c r="EY25" s="198"/>
      <c r="EZ25" s="198"/>
      <c r="FA25" s="198"/>
    </row>
    <row r="26" spans="2:159" ht="18" customHeight="1" x14ac:dyDescent="0.25">
      <c r="B26" s="7"/>
      <c r="C26" s="23"/>
      <c r="K26" s="23"/>
      <c r="L26" s="30"/>
      <c r="M26" s="23"/>
      <c r="N26" s="10"/>
      <c r="O26" s="10" t="s">
        <v>59</v>
      </c>
      <c r="P26" s="117">
        <v>40</v>
      </c>
      <c r="Q26" s="117"/>
      <c r="R26" s="117"/>
      <c r="S26" s="23" t="s">
        <v>60</v>
      </c>
      <c r="T26" s="23"/>
      <c r="U26" s="23"/>
      <c r="V26" s="23"/>
      <c r="AP26" s="9"/>
      <c r="AR26" s="7"/>
      <c r="BB26" s="19"/>
      <c r="BC26" s="19"/>
      <c r="BD26" s="19"/>
      <c r="BE26" s="19"/>
      <c r="BF26" s="19" t="s">
        <v>52</v>
      </c>
      <c r="BH26" s="185">
        <f>CZ20</f>
        <v>0.28948452248478729</v>
      </c>
      <c r="BI26" s="186"/>
      <c r="BJ26" s="186"/>
      <c r="BK26" s="186"/>
      <c r="BL26" s="186"/>
      <c r="BM26" s="186"/>
      <c r="BN26" s="186"/>
      <c r="BO26" s="186"/>
      <c r="BP26" s="186"/>
      <c r="BQ26" s="186"/>
      <c r="BS26" s="126">
        <f>EG23</f>
        <v>8.2908903724452476E-2</v>
      </c>
      <c r="BT26" s="187"/>
      <c r="BU26" s="187"/>
      <c r="BV26" s="187"/>
      <c r="BW26" s="187"/>
      <c r="BX26" s="187"/>
      <c r="BY26" s="187"/>
      <c r="BZ26" s="187"/>
      <c r="CA26" s="187"/>
      <c r="CF26" s="34"/>
      <c r="DY26" s="1"/>
      <c r="DZ26" s="1"/>
      <c r="EA26" s="1"/>
      <c r="ED26" s="1"/>
      <c r="EE26" s="1"/>
      <c r="EF26" s="19" t="s">
        <v>148</v>
      </c>
      <c r="EG26" s="110">
        <f>IMABS(EG25)</f>
        <v>31936.865270231512</v>
      </c>
      <c r="EH26" s="110"/>
      <c r="EI26" s="110"/>
      <c r="EJ26" s="110"/>
      <c r="EK26" s="3" t="s">
        <v>9</v>
      </c>
      <c r="EL26" s="93">
        <f>DEGREES(IMARGUMENT(EG25))</f>
        <v>-3.8173083041887241</v>
      </c>
      <c r="EM26" s="93"/>
      <c r="EN26" s="93"/>
      <c r="EO26" s="1" t="s">
        <v>30</v>
      </c>
      <c r="EP26" s="1"/>
      <c r="EQ26" s="1"/>
      <c r="ER26" s="1"/>
    </row>
    <row r="27" spans="2:159" ht="18" customHeight="1" x14ac:dyDescent="0.35">
      <c r="B27" s="7"/>
      <c r="C27" s="23"/>
      <c r="I27" s="1" t="s">
        <v>12</v>
      </c>
      <c r="O27" s="19" t="s">
        <v>61</v>
      </c>
      <c r="P27" s="117">
        <v>12.47</v>
      </c>
      <c r="Q27" s="117"/>
      <c r="R27" s="117"/>
      <c r="S27" s="23" t="s">
        <v>48</v>
      </c>
      <c r="U27" s="23"/>
      <c r="V27" s="23"/>
      <c r="AK27" s="1" t="str">
        <f>"Isc: "&amp;P23&amp;"kA"</f>
        <v>Isc: 1.2kA</v>
      </c>
      <c r="AP27" s="9"/>
      <c r="AR27" s="7"/>
      <c r="BH27" s="76"/>
      <c r="BI27" s="76"/>
      <c r="BJ27" s="76"/>
      <c r="BK27" s="76"/>
      <c r="BL27" s="76"/>
      <c r="BM27" s="76"/>
      <c r="BN27" s="76"/>
      <c r="BO27" s="76"/>
      <c r="BP27" s="76"/>
      <c r="BQ27" s="76"/>
      <c r="BS27" s="20"/>
      <c r="BT27" s="20"/>
      <c r="BU27" s="20"/>
      <c r="BV27" s="20"/>
      <c r="BW27" s="20"/>
      <c r="BX27" s="20"/>
      <c r="BY27" s="20"/>
      <c r="BZ27" s="20"/>
      <c r="CA27" s="20"/>
      <c r="CF27" s="9"/>
      <c r="DY27" s="1"/>
      <c r="DZ27" s="1"/>
      <c r="EA27" s="1"/>
      <c r="ED27" s="1"/>
      <c r="EE27" s="1"/>
      <c r="EF27" s="19" t="s">
        <v>149</v>
      </c>
      <c r="EG27" s="111">
        <f>EG26/(P22*1000)</f>
        <v>0.92570623971685539</v>
      </c>
      <c r="EH27" s="111"/>
      <c r="EI27" s="111"/>
      <c r="EJ27" s="111"/>
      <c r="EK27" s="1"/>
      <c r="EL27" s="1"/>
      <c r="EM27" s="1"/>
      <c r="EN27" s="1"/>
      <c r="EO27" s="1"/>
      <c r="EP27" s="1"/>
      <c r="EQ27" s="1"/>
      <c r="ER27" s="1"/>
    </row>
    <row r="28" spans="2:159" ht="18" customHeight="1" x14ac:dyDescent="0.25">
      <c r="B28" s="7"/>
      <c r="C28" s="23"/>
      <c r="D28" s="23"/>
      <c r="E28" s="23"/>
      <c r="F28" s="23"/>
      <c r="G28" s="23"/>
      <c r="H28" s="23"/>
      <c r="I28" s="23"/>
      <c r="J28" s="23"/>
      <c r="K28" s="23"/>
      <c r="L28" s="30"/>
      <c r="M28" s="23"/>
      <c r="N28" s="23"/>
      <c r="O28" s="10" t="s">
        <v>63</v>
      </c>
      <c r="P28" s="117">
        <v>7.5</v>
      </c>
      <c r="Q28" s="117"/>
      <c r="R28" s="117"/>
      <c r="S28" s="23" t="s">
        <v>64</v>
      </c>
      <c r="T28" s="23"/>
      <c r="U28" s="23"/>
      <c r="V28" s="23"/>
      <c r="W28" s="23"/>
      <c r="AB28" s="19" t="str">
        <f>P22&amp;"kV Bus"</f>
        <v>34.5kV Bus</v>
      </c>
      <c r="AK28" s="1" t="str">
        <f>"X/R: "&amp;P24</f>
        <v>X/R: 7</v>
      </c>
      <c r="AP28" s="9"/>
      <c r="AR28" s="7"/>
      <c r="BB28" s="19"/>
      <c r="BC28" s="19"/>
      <c r="BD28" s="19"/>
      <c r="BE28" s="19"/>
      <c r="BF28" s="19" t="str">
        <f>"Voltage at "&amp;P32&amp;" kV Motor Bus:"</f>
        <v>Voltage at 4.16 kV Motor Bus:</v>
      </c>
      <c r="BH28" s="190">
        <f>CZ12</f>
        <v>2353.0268853007628</v>
      </c>
      <c r="BI28" s="190"/>
      <c r="BJ28" s="190"/>
      <c r="BK28" s="190"/>
      <c r="BL28" s="190"/>
      <c r="BM28" s="190"/>
      <c r="BN28" s="190"/>
      <c r="BO28" s="190"/>
      <c r="BP28" s="190"/>
      <c r="BQ28" s="190"/>
      <c r="BS28" s="139">
        <f>EG15</f>
        <v>3666.5201776602044</v>
      </c>
      <c r="BT28" s="139"/>
      <c r="BU28" s="139"/>
      <c r="BV28" s="139"/>
      <c r="BW28" s="139"/>
      <c r="BX28" s="139"/>
      <c r="BY28" s="139"/>
      <c r="BZ28" s="139"/>
      <c r="CA28" s="139"/>
      <c r="CF28" s="9"/>
      <c r="DY28" s="1"/>
      <c r="DZ28" s="1"/>
      <c r="EA28" s="1"/>
      <c r="ED28" s="1"/>
      <c r="EE28" s="1"/>
      <c r="EF28" s="19" t="s">
        <v>150</v>
      </c>
      <c r="EG28" s="98">
        <f>1-EG27</f>
        <v>7.4293760283144605E-2</v>
      </c>
      <c r="EH28" s="100"/>
      <c r="EI28" s="100"/>
      <c r="EJ28" s="100"/>
      <c r="EK28" s="1"/>
      <c r="EL28" s="1"/>
      <c r="EM28" s="1"/>
      <c r="EN28" s="1"/>
      <c r="EO28" s="1"/>
      <c r="EP28" s="1"/>
      <c r="EQ28" s="1"/>
      <c r="ER28" s="1"/>
    </row>
    <row r="29" spans="2:159" ht="18" customHeight="1" x14ac:dyDescent="0.25">
      <c r="B29" s="7"/>
      <c r="J29" s="23"/>
      <c r="K29" s="23"/>
      <c r="L29" s="30"/>
      <c r="M29" s="23"/>
      <c r="N29" s="23"/>
      <c r="O29" s="10" t="s">
        <v>54</v>
      </c>
      <c r="P29" s="117">
        <v>28.65</v>
      </c>
      <c r="Q29" s="117"/>
      <c r="R29" s="117"/>
      <c r="S29" s="23"/>
      <c r="T29" s="23"/>
      <c r="U29" s="23"/>
      <c r="V29" s="23"/>
      <c r="W29" s="23"/>
      <c r="AG29" s="1" t="str">
        <f>P26&amp;" MVA"</f>
        <v>40 MVA</v>
      </c>
      <c r="AP29" s="9"/>
      <c r="AR29" s="7"/>
      <c r="BF29" s="19" t="s">
        <v>49</v>
      </c>
      <c r="BH29" s="185">
        <f>CZ13</f>
        <v>0.58825672132519069</v>
      </c>
      <c r="BI29" s="186"/>
      <c r="BJ29" s="186"/>
      <c r="BK29" s="186"/>
      <c r="BL29" s="186"/>
      <c r="BM29" s="186"/>
      <c r="BN29" s="186"/>
      <c r="BO29" s="186"/>
      <c r="BP29" s="186"/>
      <c r="BQ29" s="186"/>
      <c r="BS29" s="126">
        <f>EG17</f>
        <v>0.88137504270677991</v>
      </c>
      <c r="BT29" s="187"/>
      <c r="BU29" s="187"/>
      <c r="BV29" s="187"/>
      <c r="BW29" s="187"/>
      <c r="BX29" s="187"/>
      <c r="BY29" s="187"/>
      <c r="BZ29" s="187"/>
      <c r="CA29" s="187"/>
      <c r="CF29" s="9"/>
    </row>
    <row r="30" spans="2:159" ht="18" customHeight="1" x14ac:dyDescent="0.3">
      <c r="B30" s="7"/>
      <c r="C30" s="106" t="s">
        <v>151</v>
      </c>
      <c r="D30" s="106"/>
      <c r="E30" s="106"/>
      <c r="F30" s="106"/>
      <c r="G30" s="106"/>
      <c r="H30" s="106"/>
      <c r="I30" s="106"/>
      <c r="J30" s="106"/>
      <c r="K30" s="106"/>
      <c r="L30" s="106"/>
      <c r="M30" s="106"/>
      <c r="N30" s="106"/>
      <c r="O30" s="106"/>
      <c r="P30" s="106"/>
      <c r="Q30" s="106"/>
      <c r="R30" s="106"/>
      <c r="S30" s="106"/>
      <c r="T30" s="106"/>
      <c r="U30" s="23"/>
      <c r="V30" s="23"/>
      <c r="W30" s="23"/>
      <c r="AG30" s="74" t="str">
        <f>P28&amp;"%"</f>
        <v>7.5%</v>
      </c>
      <c r="AP30" s="9"/>
      <c r="AR30" s="7"/>
      <c r="BB30" s="19"/>
      <c r="BC30" s="19"/>
      <c r="BD30" s="19"/>
      <c r="BE30" s="19"/>
      <c r="BF30" s="19" t="s">
        <v>52</v>
      </c>
      <c r="BH30" s="185">
        <f>CZ14</f>
        <v>0.56563146281268339</v>
      </c>
      <c r="BI30" s="186"/>
      <c r="BJ30" s="186"/>
      <c r="BK30" s="186"/>
      <c r="BL30" s="186"/>
      <c r="BM30" s="186"/>
      <c r="BN30" s="186"/>
      <c r="BO30" s="186"/>
      <c r="BP30" s="186"/>
      <c r="BQ30" s="186"/>
      <c r="BS30" s="126">
        <f>EG18</f>
        <v>0.11862495729322009</v>
      </c>
      <c r="BT30" s="187"/>
      <c r="BU30" s="187"/>
      <c r="BV30" s="187"/>
      <c r="BW30" s="187"/>
      <c r="BX30" s="187"/>
      <c r="BY30" s="187"/>
      <c r="BZ30" s="187"/>
      <c r="CA30" s="187"/>
      <c r="CF30" s="9"/>
      <c r="EA30" s="19" t="s">
        <v>241</v>
      </c>
      <c r="EC30" s="94">
        <f>(-EG15/1.73)/CJ74</f>
        <v>3311.5247269329875</v>
      </c>
      <c r="ED30" s="94"/>
      <c r="EE30" s="94"/>
      <c r="EF30" s="94"/>
      <c r="EG30" s="94"/>
      <c r="EH30" s="94"/>
    </row>
    <row r="31" spans="2:159" ht="18" customHeight="1" x14ac:dyDescent="0.25">
      <c r="B31" s="7"/>
      <c r="C31" s="23"/>
      <c r="K31" s="23"/>
      <c r="L31" s="30"/>
      <c r="M31" s="23"/>
      <c r="N31" s="10"/>
      <c r="O31" s="10" t="s">
        <v>59</v>
      </c>
      <c r="P31" s="117">
        <v>10</v>
      </c>
      <c r="Q31" s="117"/>
      <c r="R31" s="117"/>
      <c r="S31" s="23" t="s">
        <v>60</v>
      </c>
      <c r="T31" s="23"/>
      <c r="U31" s="23"/>
      <c r="V31" s="23"/>
      <c r="W31" s="23"/>
      <c r="AB31" s="19" t="str">
        <f>P27&amp;"kV Bus"</f>
        <v>12.47kV Bus</v>
      </c>
      <c r="AP31" s="9"/>
      <c r="AR31" s="7"/>
      <c r="BH31" s="31"/>
      <c r="BI31" s="31"/>
      <c r="BJ31" s="31"/>
      <c r="BK31" s="31"/>
      <c r="BL31" s="31"/>
      <c r="BM31" s="31"/>
      <c r="BN31" s="31"/>
      <c r="BO31" s="31"/>
      <c r="BP31" s="31"/>
      <c r="BQ31" s="31"/>
      <c r="BS31" s="31"/>
      <c r="BT31" s="31"/>
      <c r="BU31" s="31"/>
      <c r="BV31" s="31"/>
      <c r="BW31" s="31"/>
      <c r="BX31" s="31"/>
      <c r="BY31" s="31"/>
      <c r="BZ31" s="31"/>
      <c r="CA31" s="31"/>
      <c r="CF31" s="9"/>
    </row>
    <row r="32" spans="2:159" ht="18" customHeight="1" x14ac:dyDescent="0.35">
      <c r="B32" s="7"/>
      <c r="C32" s="23"/>
      <c r="O32" s="19" t="s">
        <v>61</v>
      </c>
      <c r="P32" s="117">
        <v>4.16</v>
      </c>
      <c r="Q32" s="117"/>
      <c r="R32" s="117"/>
      <c r="S32" s="23" t="s">
        <v>48</v>
      </c>
      <c r="U32" s="23"/>
      <c r="V32" s="23"/>
      <c r="W32" s="23"/>
      <c r="AP32" s="9"/>
      <c r="AR32" s="7"/>
      <c r="BF32" s="19" t="str">
        <f>"Starting Current Seen by "&amp;P22&amp;" kV System:"</f>
        <v>Starting Current Seen by 34.5 kV System:</v>
      </c>
      <c r="BH32" s="191" t="str">
        <f>ROUND(CZ8/(CZ16*CZ21),0)&amp;" amps"</f>
        <v>307 amps</v>
      </c>
      <c r="BI32" s="186"/>
      <c r="BJ32" s="186"/>
      <c r="BK32" s="186"/>
      <c r="BL32" s="186"/>
      <c r="BM32" s="186"/>
      <c r="BN32" s="186"/>
      <c r="BO32" s="186"/>
      <c r="BP32" s="186"/>
      <c r="BQ32" s="186"/>
      <c r="BS32" s="132" t="str">
        <f>ROUND(EG8/(CZ16*CZ21),1)&amp;" amps"</f>
        <v>117.7 amps</v>
      </c>
      <c r="BT32" s="187"/>
      <c r="BU32" s="187"/>
      <c r="BV32" s="187"/>
      <c r="BW32" s="187"/>
      <c r="BX32" s="187"/>
      <c r="BY32" s="187"/>
      <c r="BZ32" s="187"/>
      <c r="CA32" s="187"/>
      <c r="CF32" s="9"/>
    </row>
    <row r="33" spans="2:84" ht="18" customHeight="1" x14ac:dyDescent="0.25">
      <c r="B33" s="7"/>
      <c r="C33" s="23"/>
      <c r="D33" s="23"/>
      <c r="E33" s="23"/>
      <c r="F33" s="23"/>
      <c r="G33" s="23"/>
      <c r="H33" s="23"/>
      <c r="I33" s="23"/>
      <c r="J33" s="23"/>
      <c r="K33" s="23"/>
      <c r="L33" s="30"/>
      <c r="M33" s="23"/>
      <c r="N33" s="23"/>
      <c r="O33" s="10" t="s">
        <v>63</v>
      </c>
      <c r="P33" s="117">
        <v>8</v>
      </c>
      <c r="Q33" s="117"/>
      <c r="R33" s="117"/>
      <c r="S33" s="23" t="s">
        <v>64</v>
      </c>
      <c r="T33" s="23"/>
      <c r="V33" s="23"/>
      <c r="W33" s="23"/>
      <c r="AG33" s="1" t="str">
        <f>P31&amp;" MVA"</f>
        <v>10 MVA</v>
      </c>
      <c r="AP33" s="9"/>
      <c r="AR33" s="7"/>
      <c r="BF33" s="19" t="str">
        <f>"Seen by "&amp;P27&amp;" kV System:"</f>
        <v>Seen by 12.47 kV System:</v>
      </c>
      <c r="BH33" s="191" t="str">
        <f>ROUND(CZ8/(CZ16),0)&amp;" amps"</f>
        <v>848 amps</v>
      </c>
      <c r="BI33" s="186"/>
      <c r="BJ33" s="186"/>
      <c r="BK33" s="186"/>
      <c r="BL33" s="186"/>
      <c r="BM33" s="186"/>
      <c r="BN33" s="186"/>
      <c r="BO33" s="186"/>
      <c r="BP33" s="186"/>
      <c r="BQ33" s="186"/>
      <c r="BS33" s="132" t="str">
        <f>ROUND(EG8/CZ16,0)&amp;" amps"</f>
        <v>326 amps</v>
      </c>
      <c r="BT33" s="187"/>
      <c r="BU33" s="187"/>
      <c r="BV33" s="187"/>
      <c r="BW33" s="187"/>
      <c r="BX33" s="187"/>
      <c r="BY33" s="187"/>
      <c r="BZ33" s="187"/>
      <c r="CA33" s="187"/>
      <c r="CF33" s="9"/>
    </row>
    <row r="34" spans="2:84" ht="18" customHeight="1" x14ac:dyDescent="0.25">
      <c r="B34" s="7"/>
      <c r="J34" s="23"/>
      <c r="K34" s="23"/>
      <c r="L34" s="30"/>
      <c r="M34" s="23"/>
      <c r="N34" s="23"/>
      <c r="O34" s="10" t="s">
        <v>54</v>
      </c>
      <c r="P34" s="117">
        <v>25</v>
      </c>
      <c r="Q34" s="117"/>
      <c r="R34" s="117"/>
      <c r="S34" s="23"/>
      <c r="T34" s="23"/>
      <c r="U34" s="23"/>
      <c r="V34" s="23"/>
      <c r="W34" s="23"/>
      <c r="AG34" s="74" t="str">
        <f>P33&amp;"%"</f>
        <v>8%</v>
      </c>
      <c r="AP34" s="9"/>
      <c r="AR34" s="7"/>
      <c r="BF34" s="19" t="str">
        <f>"Seen by "&amp;P32&amp;" kV System:"</f>
        <v>Seen by 4.16 kV System:</v>
      </c>
      <c r="BH34" s="191" t="str">
        <f>ROUND(CZ8,0)&amp;" amps"</f>
        <v>2543 amps</v>
      </c>
      <c r="BI34" s="186"/>
      <c r="BJ34" s="186"/>
      <c r="BK34" s="186"/>
      <c r="BL34" s="186"/>
      <c r="BM34" s="186"/>
      <c r="BN34" s="186"/>
      <c r="BO34" s="186"/>
      <c r="BP34" s="186"/>
      <c r="BQ34" s="186"/>
      <c r="BS34" s="132">
        <f>ROUND(EG8,0)</f>
        <v>976</v>
      </c>
      <c r="BT34" s="187"/>
      <c r="BU34" s="187"/>
      <c r="BV34" s="187"/>
      <c r="BW34" s="187"/>
      <c r="BX34" s="187"/>
      <c r="BY34" s="187"/>
      <c r="BZ34" s="187"/>
      <c r="CA34" s="187"/>
      <c r="CF34" s="9"/>
    </row>
    <row r="35" spans="2:84" ht="18" customHeight="1" x14ac:dyDescent="0.3">
      <c r="B35" s="7"/>
      <c r="C35" s="106" t="s">
        <v>65</v>
      </c>
      <c r="D35" s="106"/>
      <c r="E35" s="106"/>
      <c r="F35" s="106"/>
      <c r="G35" s="106"/>
      <c r="H35" s="106"/>
      <c r="I35" s="106"/>
      <c r="J35" s="106"/>
      <c r="K35" s="106"/>
      <c r="L35" s="106"/>
      <c r="M35" s="106"/>
      <c r="N35" s="106"/>
      <c r="O35" s="106"/>
      <c r="P35" s="106"/>
      <c r="Q35" s="106"/>
      <c r="R35" s="106"/>
      <c r="S35" s="106"/>
      <c r="T35" s="106"/>
      <c r="U35" s="23"/>
      <c r="V35" s="23"/>
      <c r="W35" s="23"/>
      <c r="AA35" s="19" t="str">
        <f>P32&amp;"kV Bus"</f>
        <v>4.16kV Bus</v>
      </c>
      <c r="AP35" s="9"/>
      <c r="AR35" s="7"/>
      <c r="BF35" s="19" t="s">
        <v>15</v>
      </c>
      <c r="BH35" s="185">
        <f>CZ9</f>
        <v>3.8236686886137434</v>
      </c>
      <c r="BI35" s="186"/>
      <c r="BJ35" s="186"/>
      <c r="BK35" s="186"/>
      <c r="BL35" s="186"/>
      <c r="BM35" s="186"/>
      <c r="BN35" s="186"/>
      <c r="BO35" s="186"/>
      <c r="BP35" s="186"/>
      <c r="BQ35" s="186"/>
      <c r="BS35" s="126">
        <f>EG9</f>
        <v>1.4683620742929195</v>
      </c>
      <c r="BT35" s="126"/>
      <c r="BU35" s="126"/>
      <c r="BV35" s="126"/>
      <c r="BW35" s="126"/>
      <c r="BX35" s="126"/>
      <c r="BY35" s="126"/>
      <c r="BZ35" s="126"/>
      <c r="CA35" s="126"/>
      <c r="CF35" s="9"/>
    </row>
    <row r="36" spans="2:84" ht="18" customHeight="1" x14ac:dyDescent="0.25">
      <c r="B36" s="7"/>
      <c r="C36" s="23"/>
      <c r="K36" s="23"/>
      <c r="L36" s="30"/>
      <c r="M36" s="23"/>
      <c r="N36" s="10"/>
      <c r="O36" s="10" t="s">
        <v>66</v>
      </c>
      <c r="P36" s="117">
        <v>4</v>
      </c>
      <c r="Q36" s="117"/>
      <c r="R36" s="117"/>
      <c r="S36" s="23" t="s">
        <v>48</v>
      </c>
      <c r="T36" s="23"/>
      <c r="U36" s="23"/>
      <c r="V36" s="23"/>
      <c r="W36" s="23"/>
      <c r="AP36" s="9"/>
      <c r="AR36" s="7"/>
      <c r="BF36" s="19"/>
      <c r="BS36" s="31"/>
      <c r="BT36" s="31"/>
      <c r="BU36" s="31"/>
      <c r="BV36" s="31"/>
      <c r="BW36" s="31"/>
      <c r="BX36" s="31"/>
      <c r="BY36" s="31"/>
      <c r="BZ36" s="31"/>
      <c r="CA36" s="31"/>
      <c r="CF36" s="9"/>
    </row>
    <row r="37" spans="2:84" ht="18" customHeight="1" x14ac:dyDescent="0.25">
      <c r="B37" s="7"/>
      <c r="C37" s="23"/>
      <c r="D37" s="23"/>
      <c r="K37" s="23"/>
      <c r="L37" s="30"/>
      <c r="M37" s="23"/>
      <c r="N37" s="10"/>
      <c r="O37" s="10" t="s">
        <v>68</v>
      </c>
      <c r="P37" s="117">
        <v>5000</v>
      </c>
      <c r="Q37" s="117"/>
      <c r="R37" s="117"/>
      <c r="S37" s="23" t="s">
        <v>69</v>
      </c>
      <c r="T37" s="23"/>
      <c r="U37" s="23"/>
      <c r="V37" s="23"/>
      <c r="W37" s="23"/>
      <c r="AK37" s="1" t="str">
        <f>TEXT(P37,"#,##0") &amp; " HP Motor"</f>
        <v>5,000 HP Motor</v>
      </c>
      <c r="AP37" s="9"/>
      <c r="AR37" s="7"/>
      <c r="AS37" s="199" t="str">
        <f>"Voltage change per stage at the "&amp;P32&amp;" kV Bus:"</f>
        <v>Voltage change per stage at the 4.16 kV Bus:</v>
      </c>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22" t="str">
        <f>"±"&amp;ROUND((100*P45/P46)/DM87/2,2)&amp;"%"</f>
        <v>±9.92%</v>
      </c>
      <c r="BT37" s="122"/>
      <c r="BU37" s="122"/>
      <c r="BV37" s="122"/>
      <c r="BW37" s="122"/>
      <c r="BX37" s="122"/>
      <c r="BY37" s="122"/>
      <c r="BZ37" s="122"/>
      <c r="CA37" s="122"/>
      <c r="CF37" s="9"/>
    </row>
    <row r="38" spans="2:84" ht="18" customHeight="1" x14ac:dyDescent="0.25">
      <c r="B38" s="7"/>
      <c r="C38" s="23"/>
      <c r="D38" s="23"/>
      <c r="E38" s="23"/>
      <c r="F38" s="23"/>
      <c r="G38" s="23"/>
      <c r="H38" s="23"/>
      <c r="I38" s="23"/>
      <c r="J38" s="23"/>
      <c r="K38" s="23"/>
      <c r="L38" s="30"/>
      <c r="M38" s="23"/>
      <c r="N38" s="23"/>
      <c r="O38" s="10" t="s">
        <v>70</v>
      </c>
      <c r="P38" s="117">
        <v>665</v>
      </c>
      <c r="Q38" s="117"/>
      <c r="R38" s="117"/>
      <c r="S38" s="23" t="s">
        <v>10</v>
      </c>
      <c r="T38" s="23"/>
      <c r="AK38" s="1" t="str">
        <f>"FLA: "&amp;ROUND(P38,0)&amp;"A"</f>
        <v>FLA: 665A</v>
      </c>
      <c r="AP38" s="9"/>
      <c r="AR38" s="7"/>
      <c r="AS38" s="199" t="str">
        <f>"Voltage change per stage at the "&amp;P27&amp;" kV Bus:"</f>
        <v>Voltage change per stage at the 12.47 kV Bus:</v>
      </c>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22" t="str">
        <f>"±"&amp;ROUND((100*P45/P46)/DM91/2,2)&amp;"%"</f>
        <v>±2.2%</v>
      </c>
      <c r="BT38" s="122"/>
      <c r="BU38" s="122"/>
      <c r="BV38" s="122"/>
      <c r="BW38" s="122"/>
      <c r="BX38" s="122"/>
      <c r="BY38" s="122"/>
      <c r="BZ38" s="122"/>
      <c r="CA38" s="122"/>
      <c r="CF38" s="9"/>
    </row>
    <row r="39" spans="2:84" ht="18" customHeight="1" x14ac:dyDescent="0.25">
      <c r="B39" s="7"/>
      <c r="E39" s="23"/>
      <c r="F39" s="23"/>
      <c r="G39" s="23"/>
      <c r="H39" s="23"/>
      <c r="I39" s="23"/>
      <c r="J39" s="23"/>
      <c r="K39" s="23"/>
      <c r="L39" s="30"/>
      <c r="M39" s="23"/>
      <c r="N39" s="23"/>
      <c r="O39" s="10" t="s">
        <v>71</v>
      </c>
      <c r="P39" s="117">
        <v>90</v>
      </c>
      <c r="Q39" s="117"/>
      <c r="R39" s="117"/>
      <c r="S39" s="23" t="s">
        <v>64</v>
      </c>
      <c r="T39" s="23"/>
      <c r="AK39" s="1" t="str">
        <f>"LRA: "&amp;P41&amp;"%"</f>
        <v>LRA: 650%</v>
      </c>
      <c r="AP39" s="9"/>
      <c r="AR39" s="7"/>
      <c r="CF39" s="9"/>
    </row>
    <row r="40" spans="2:84" ht="18" customHeight="1" x14ac:dyDescent="0.25">
      <c r="B40" s="7"/>
      <c r="O40" s="19" t="s">
        <v>72</v>
      </c>
      <c r="P40" s="117">
        <v>90</v>
      </c>
      <c r="Q40" s="117"/>
      <c r="R40" s="117"/>
      <c r="S40" s="1" t="s">
        <v>64</v>
      </c>
      <c r="AP40" s="9"/>
      <c r="AR40" s="7"/>
      <c r="AS40" s="194" t="str">
        <f>"The MotorVar reduces the "&amp;P27&amp;"kV system's inrush current from "&amp;BH33&amp;" ("&amp;ROUND(100*BH12,1)&amp;" %FLA) to "&amp;BS33&amp;" ("&amp;ROUND(100*BS35,1)&amp;" % of FLA). The voltage at the "&amp;P27&amp;" kV bus is improved from "&amp;ROUND(BH25*100,1)&amp;"% to "&amp;ROUND(BS25*100,1)&amp;"% while at "&amp;P22&amp;" kV, the voltage is improved from "&amp;ROUND(BH21*100,1)&amp;"% to "&amp;ROUND(100*BS21,1)&amp;"%. of nominal."</f>
        <v>The MotorVar reduces the 12.47kV system's inrush current from 848 amps (382.4 %FLA) to 326 amps (146.8 % of FLA). The voltage at the 12.47 kV bus is improved from 71.1% to 91.7% while at 34.5 kV, the voltage is improved from 74.5% to 92.6%. of nominal.</v>
      </c>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F40" s="9"/>
    </row>
    <row r="41" spans="2:84" ht="18" customHeight="1" x14ac:dyDescent="0.25">
      <c r="B41" s="7"/>
      <c r="O41" s="10" t="s">
        <v>74</v>
      </c>
      <c r="P41" s="117">
        <v>650</v>
      </c>
      <c r="Q41" s="117"/>
      <c r="R41" s="117"/>
      <c r="S41" s="1" t="s">
        <v>64</v>
      </c>
      <c r="AP41" s="9"/>
      <c r="AR41" s="7"/>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F41" s="9"/>
    </row>
    <row r="42" spans="2:84" ht="18" customHeight="1" x14ac:dyDescent="0.25">
      <c r="B42" s="7"/>
      <c r="O42" s="19" t="s">
        <v>75</v>
      </c>
      <c r="P42" s="117">
        <v>20</v>
      </c>
      <c r="Q42" s="117"/>
      <c r="R42" s="117"/>
      <c r="S42" s="1" t="s">
        <v>64</v>
      </c>
      <c r="AP42" s="9"/>
      <c r="AR42" s="7"/>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F42" s="9"/>
    </row>
    <row r="43" spans="2:84" ht="18" customHeight="1" x14ac:dyDescent="0.3">
      <c r="B43" s="7"/>
      <c r="C43" s="106" t="s">
        <v>76</v>
      </c>
      <c r="D43" s="106"/>
      <c r="E43" s="106"/>
      <c r="F43" s="106"/>
      <c r="G43" s="106"/>
      <c r="H43" s="106"/>
      <c r="I43" s="106"/>
      <c r="J43" s="106"/>
      <c r="K43" s="106"/>
      <c r="L43" s="106"/>
      <c r="M43" s="106"/>
      <c r="N43" s="106"/>
      <c r="O43" s="106"/>
      <c r="P43" s="106"/>
      <c r="Q43" s="106"/>
      <c r="R43" s="106"/>
      <c r="S43" s="106"/>
      <c r="T43" s="106"/>
      <c r="AP43" s="9"/>
      <c r="AR43" s="7"/>
      <c r="AS43" s="40" t="s">
        <v>84</v>
      </c>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F43" s="9"/>
    </row>
    <row r="44" spans="2:84" ht="18" customHeight="1" x14ac:dyDescent="0.25">
      <c r="B44" s="7"/>
      <c r="C44" s="23"/>
      <c r="K44" s="23"/>
      <c r="L44" s="30"/>
      <c r="M44" s="23"/>
      <c r="N44" s="10"/>
      <c r="O44" s="10" t="s">
        <v>77</v>
      </c>
      <c r="P44" s="117">
        <v>4</v>
      </c>
      <c r="Q44" s="117"/>
      <c r="R44" s="117"/>
      <c r="S44" s="23" t="s">
        <v>48</v>
      </c>
      <c r="T44" s="23"/>
      <c r="AF44" s="100" t="str">
        <f>P44&amp;"KV, "&amp;P45&amp;" MVAR"</f>
        <v>4KV, 25 MVAR</v>
      </c>
      <c r="AG44" s="100"/>
      <c r="AH44" s="100"/>
      <c r="AI44" s="100"/>
      <c r="AJ44" s="100"/>
      <c r="AK44" s="100"/>
      <c r="AP44" s="9"/>
      <c r="AR44" s="7"/>
      <c r="AS44" s="195" t="s">
        <v>242</v>
      </c>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F44" s="9"/>
    </row>
    <row r="45" spans="2:84" ht="18" customHeight="1" x14ac:dyDescent="0.25">
      <c r="B45" s="7"/>
      <c r="C45" s="23"/>
      <c r="D45" s="23"/>
      <c r="E45" s="23"/>
      <c r="F45" s="23"/>
      <c r="G45" s="23"/>
      <c r="H45" s="23"/>
      <c r="I45" s="23"/>
      <c r="J45" s="23"/>
      <c r="K45" s="23"/>
      <c r="L45" s="30"/>
      <c r="M45" s="23"/>
      <c r="N45" s="23"/>
      <c r="O45" s="10" t="s">
        <v>79</v>
      </c>
      <c r="P45" s="117">
        <v>25</v>
      </c>
      <c r="Q45" s="117"/>
      <c r="R45" s="117"/>
      <c r="S45" s="23" t="s">
        <v>80</v>
      </c>
      <c r="T45" s="23"/>
      <c r="AF45" s="1" t="str">
        <f>P46&amp;" Stage MotorVAR"</f>
        <v>3 Stage MotorVAR</v>
      </c>
      <c r="AP45" s="9"/>
      <c r="AR45" s="7"/>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5"/>
      <c r="BO45" s="195"/>
      <c r="BP45" s="195"/>
      <c r="BQ45" s="195"/>
      <c r="BR45" s="195"/>
      <c r="BS45" s="195"/>
      <c r="BT45" s="195"/>
      <c r="BU45" s="195"/>
      <c r="BV45" s="195"/>
      <c r="BW45" s="195"/>
      <c r="BX45" s="195"/>
      <c r="BY45" s="195"/>
      <c r="BZ45" s="195"/>
      <c r="CA45" s="195"/>
      <c r="CB45" s="195"/>
      <c r="CC45" s="195"/>
      <c r="CD45" s="195"/>
      <c r="CF45" s="9"/>
    </row>
    <row r="46" spans="2:84" ht="18" customHeight="1" x14ac:dyDescent="0.25">
      <c r="B46" s="7"/>
      <c r="F46" s="23"/>
      <c r="G46" s="23"/>
      <c r="H46" s="23"/>
      <c r="I46" s="23"/>
      <c r="J46" s="23"/>
      <c r="K46" s="23"/>
      <c r="L46" s="30"/>
      <c r="M46" s="23"/>
      <c r="N46" s="23"/>
      <c r="O46" s="10" t="s">
        <v>81</v>
      </c>
      <c r="P46" s="117">
        <v>3</v>
      </c>
      <c r="Q46" s="117"/>
      <c r="R46" s="117"/>
      <c r="S46" s="23"/>
      <c r="T46" s="23"/>
      <c r="AP46" s="42"/>
      <c r="AR46" s="7"/>
      <c r="AS46" s="195"/>
      <c r="AT46" s="195"/>
      <c r="AU46" s="195"/>
      <c r="AV46" s="195"/>
      <c r="AW46" s="195"/>
      <c r="AX46" s="195"/>
      <c r="AY46" s="195"/>
      <c r="AZ46" s="195"/>
      <c r="BA46" s="195"/>
      <c r="BB46" s="195"/>
      <c r="BC46" s="195"/>
      <c r="BD46" s="195"/>
      <c r="BE46" s="195"/>
      <c r="BF46" s="195"/>
      <c r="BG46" s="195"/>
      <c r="BH46" s="195"/>
      <c r="BI46" s="195"/>
      <c r="BJ46" s="195"/>
      <c r="BK46" s="195"/>
      <c r="BL46" s="195"/>
      <c r="BM46" s="195"/>
      <c r="BN46" s="195"/>
      <c r="BO46" s="195"/>
      <c r="BP46" s="195"/>
      <c r="BQ46" s="195"/>
      <c r="BR46" s="195"/>
      <c r="BS46" s="195"/>
      <c r="BT46" s="195"/>
      <c r="BU46" s="195"/>
      <c r="BV46" s="195"/>
      <c r="BW46" s="195"/>
      <c r="BX46" s="195"/>
      <c r="BY46" s="195"/>
      <c r="BZ46" s="195"/>
      <c r="CA46" s="195"/>
      <c r="CB46" s="195"/>
      <c r="CC46" s="195"/>
      <c r="CD46" s="195"/>
      <c r="CF46" s="9"/>
    </row>
    <row r="47" spans="2:84"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row>
    <row r="48" spans="2:84" ht="18" customHeight="1" x14ac:dyDescent="0.25">
      <c r="B48" s="7"/>
      <c r="D48" s="43" t="s">
        <v>86</v>
      </c>
      <c r="AP48" s="9"/>
      <c r="AR48" s="7"/>
      <c r="AT48" s="43" t="s">
        <v>86</v>
      </c>
      <c r="CE48" s="19" t="s">
        <v>87</v>
      </c>
      <c r="CF48" s="9"/>
    </row>
    <row r="49" spans="2:237" ht="18" customHeight="1" x14ac:dyDescent="0.25">
      <c r="B49" s="44"/>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5" t="s">
        <v>240</v>
      </c>
      <c r="AF49" s="41"/>
      <c r="AG49" s="41"/>
      <c r="AH49" s="41"/>
      <c r="AI49" s="41"/>
      <c r="AJ49" s="41"/>
      <c r="AK49" s="41"/>
      <c r="AL49" s="41"/>
      <c r="AM49" s="41"/>
      <c r="AN49" s="41"/>
      <c r="AO49" s="41"/>
      <c r="AP49" s="46"/>
      <c r="AR49" s="44"/>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6"/>
    </row>
    <row r="50" spans="2:237" ht="18" customHeight="1" x14ac:dyDescent="0.25"/>
    <row r="51" spans="2:23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row>
    <row r="52" spans="2:237" ht="18" customHeight="1" x14ac:dyDescent="0.25">
      <c r="B52" s="7"/>
      <c r="AN52" s="8"/>
      <c r="AP52" s="9"/>
      <c r="AR52" s="7"/>
      <c r="CD52" s="8"/>
      <c r="CF52" s="9"/>
    </row>
    <row r="53" spans="2:237" ht="18" customHeight="1" x14ac:dyDescent="0.25">
      <c r="B53" s="7"/>
      <c r="AN53" s="10"/>
      <c r="AP53" s="9"/>
      <c r="AR53" s="7"/>
      <c r="CD53" s="10"/>
      <c r="CF53" s="9"/>
    </row>
    <row r="54" spans="2:237" ht="18" customHeight="1" thickBot="1" x14ac:dyDescent="0.3">
      <c r="B54" s="7"/>
      <c r="C54" s="11" t="str">
        <f>C7</f>
        <v>MotorVAR™ - MOTOR START CAPACITOR BANK - SIZING TOOL 
CAPTIVE TRANSFORMER CONFIGURATION</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tr">
        <f>C7</f>
        <v>MotorVAR™ - MOTOR START CAPACITOR BANK - SIZING TOOL 
CAPTIVE TRANSFORMER CONFIGURATION</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row>
    <row r="55" spans="2:237" ht="18" customHeight="1" x14ac:dyDescent="0.25">
      <c r="B55" s="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9"/>
      <c r="AR55" s="7"/>
      <c r="CD55" s="10"/>
      <c r="CF55" s="9"/>
      <c r="DX55" s="35"/>
      <c r="DY55" s="36"/>
      <c r="DZ55" s="36"/>
      <c r="EA55" s="37"/>
    </row>
    <row r="56" spans="2:237" ht="18" customHeight="1" thickBot="1" x14ac:dyDescent="0.35">
      <c r="B56" s="7"/>
      <c r="C56" s="28" t="s">
        <v>92</v>
      </c>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9"/>
      <c r="AR56" s="7"/>
      <c r="AS56" s="28" t="s">
        <v>187</v>
      </c>
      <c r="BO56" s="178" t="s">
        <v>213</v>
      </c>
      <c r="BP56" s="178"/>
      <c r="BQ56" s="178"/>
      <c r="BR56" s="178"/>
      <c r="BS56" s="178"/>
      <c r="BT56" s="178"/>
      <c r="BU56" s="178"/>
      <c r="BV56" s="178"/>
      <c r="BW56" s="178"/>
      <c r="BX56" s="178"/>
      <c r="BY56" s="178"/>
      <c r="BZ56" s="178"/>
      <c r="CA56" s="178"/>
      <c r="CB56" s="178"/>
      <c r="CC56" s="178"/>
      <c r="CF56" s="9"/>
      <c r="CI56" s="31" t="s">
        <v>53</v>
      </c>
    </row>
    <row r="57" spans="2:237" ht="18" customHeight="1" x14ac:dyDescent="0.25">
      <c r="B57" s="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9"/>
      <c r="AR57" s="7"/>
      <c r="BO57" s="76" t="s">
        <v>214</v>
      </c>
      <c r="BP57" s="76"/>
      <c r="BQ57" s="76"/>
      <c r="BR57" s="76"/>
      <c r="BS57" s="76"/>
      <c r="BT57" s="76"/>
      <c r="BU57" s="76"/>
      <c r="BV57" s="76"/>
      <c r="BW57" s="76"/>
      <c r="BX57" s="76"/>
      <c r="BY57" s="76"/>
      <c r="BZ57" s="76"/>
      <c r="CA57" s="76"/>
      <c r="CB57" s="76"/>
      <c r="CF57" s="9"/>
      <c r="CI57" s="1" t="s">
        <v>55</v>
      </c>
      <c r="CJ57" s="100">
        <f>COS(ATAN(P24))*(((P22/1.73)/P23)*(P32/P22)^2)</f>
        <v>3.417080537405242E-2</v>
      </c>
      <c r="CK57" s="100"/>
      <c r="CL57" s="100"/>
      <c r="CM57" s="100"/>
      <c r="CN57" s="100"/>
      <c r="CO57" s="100"/>
      <c r="CP57" s="100"/>
      <c r="CQ57" s="100"/>
      <c r="CR57" s="100"/>
      <c r="CS57" s="100"/>
      <c r="CT57" s="100"/>
      <c r="CU57" s="100"/>
      <c r="CV57" s="100"/>
      <c r="CW57" s="100"/>
      <c r="CX57" s="100"/>
      <c r="CY57" s="100"/>
      <c r="CZ57" s="100"/>
      <c r="DA57" s="100"/>
      <c r="DB57" s="100"/>
      <c r="DC57" s="100"/>
      <c r="DE57" s="1" t="s">
        <v>56</v>
      </c>
      <c r="DJ57" s="100">
        <f>IMABS(CI59)</f>
        <v>0.24162408198598195</v>
      </c>
      <c r="DK57" s="100"/>
      <c r="DL57" s="100"/>
      <c r="DM57" s="100"/>
      <c r="DN57" s="1" t="s">
        <v>9</v>
      </c>
      <c r="DO57" s="100">
        <f>DEGREES(IMARGUMENT(CI59))</f>
        <v>81.869897645844034</v>
      </c>
      <c r="DP57" s="100"/>
      <c r="DQ57" s="100"/>
      <c r="DR57" s="1" t="s">
        <v>56</v>
      </c>
    </row>
    <row r="58" spans="2:237" ht="18" customHeight="1" x14ac:dyDescent="0.25">
      <c r="B58" s="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9"/>
      <c r="AR58" s="7"/>
      <c r="BO58" s="86" t="s">
        <v>238</v>
      </c>
      <c r="BP58" s="86"/>
      <c r="BQ58" s="86"/>
      <c r="BR58" s="86"/>
      <c r="BS58" s="86"/>
      <c r="BT58" s="86"/>
      <c r="BU58" s="86"/>
      <c r="BV58" s="86"/>
      <c r="BW58" s="86"/>
      <c r="BX58" s="86"/>
      <c r="BY58" s="86"/>
      <c r="BZ58" s="86"/>
      <c r="CA58" s="86"/>
      <c r="CB58" s="86"/>
      <c r="CC58" s="31"/>
      <c r="CF58" s="9"/>
      <c r="CI58" s="1" t="s">
        <v>58</v>
      </c>
      <c r="CJ58" s="100">
        <f>SIN(ATAN(P24))*((P22/1.73)/P23)*(P32/P22)^2</f>
        <v>0.2391956376183671</v>
      </c>
      <c r="CK58" s="100"/>
      <c r="CL58" s="100"/>
      <c r="CM58" s="100"/>
      <c r="CN58" s="100"/>
      <c r="CO58" s="100"/>
      <c r="CP58" s="100"/>
      <c r="CQ58" s="100"/>
      <c r="CR58" s="100"/>
      <c r="CS58" s="100"/>
      <c r="CT58" s="100"/>
      <c r="CU58" s="100"/>
      <c r="CV58" s="100"/>
      <c r="CW58" s="100"/>
      <c r="CX58" s="100"/>
      <c r="CY58" s="100"/>
      <c r="CZ58" s="100"/>
      <c r="DA58" s="100"/>
      <c r="DB58" s="100"/>
      <c r="DC58" s="100"/>
      <c r="DE58" s="1" t="s">
        <v>56</v>
      </c>
    </row>
    <row r="59" spans="2:237" ht="18" customHeight="1" x14ac:dyDescent="0.25">
      <c r="B59" s="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9"/>
      <c r="AR59" s="7"/>
      <c r="CF59" s="9"/>
      <c r="CI59" s="118" t="str">
        <f>COMPLEX(CJ57,CJ58)</f>
        <v>0.0341708053740524+0.239195637618367i</v>
      </c>
      <c r="CJ59" s="118"/>
      <c r="CK59" s="118"/>
      <c r="CL59" s="118"/>
      <c r="CM59" s="118"/>
      <c r="CN59" s="118"/>
      <c r="CO59" s="118"/>
      <c r="CP59" s="118"/>
      <c r="CQ59" s="118"/>
      <c r="CR59" s="118"/>
      <c r="CS59" s="118"/>
      <c r="CT59" s="118"/>
      <c r="CU59" s="118"/>
      <c r="CV59" s="118"/>
      <c r="CW59" s="118"/>
      <c r="CX59" s="118"/>
      <c r="CY59" s="118"/>
      <c r="CZ59" s="118"/>
      <c r="DA59" s="118"/>
      <c r="DB59" s="118"/>
      <c r="DC59" s="118"/>
      <c r="DD59" s="118"/>
      <c r="DE59" s="118"/>
      <c r="DF59" s="118"/>
      <c r="DG59" s="118"/>
      <c r="DH59" s="118"/>
      <c r="DI59" s="118"/>
      <c r="DJ59" s="118"/>
      <c r="DK59" s="118"/>
      <c r="DL59" s="15"/>
      <c r="DM59" s="15" t="s">
        <v>56</v>
      </c>
      <c r="DN59" s="15"/>
      <c r="DO59" s="15"/>
    </row>
    <row r="60" spans="2:237" ht="18" customHeight="1" x14ac:dyDescent="0.25">
      <c r="B60" s="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9"/>
      <c r="AR60" s="7"/>
      <c r="CF60" s="9"/>
      <c r="CI60" s="31" t="s">
        <v>62</v>
      </c>
      <c r="HL60" s="115"/>
      <c r="HM60" s="115"/>
      <c r="HN60" s="115"/>
      <c r="HO60" s="115"/>
      <c r="HP60" s="115"/>
      <c r="HQ60" s="115"/>
      <c r="HR60" s="115"/>
      <c r="HS60" s="115"/>
      <c r="HT60" s="115"/>
      <c r="HU60" s="115"/>
      <c r="HV60" s="115"/>
      <c r="HW60" s="115"/>
      <c r="HX60" s="115"/>
      <c r="HY60" s="115"/>
      <c r="HZ60" s="116"/>
      <c r="IA60" s="116"/>
      <c r="IB60" s="116"/>
      <c r="IC60" s="116"/>
    </row>
    <row r="61" spans="2:237" ht="18" customHeight="1" x14ac:dyDescent="0.25">
      <c r="B61" s="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9"/>
      <c r="AR61" s="7"/>
      <c r="CF61" s="9"/>
      <c r="CI61" s="1" t="s">
        <v>55</v>
      </c>
      <c r="CJ61" s="109">
        <f>COS(ATAN(P29))*((P32^2)/P26)*(P28/100)</f>
        <v>1.131876178071693E-3</v>
      </c>
      <c r="CK61" s="109"/>
      <c r="CL61" s="109"/>
      <c r="CM61" s="109"/>
      <c r="CN61" s="109"/>
      <c r="CO61" s="109"/>
      <c r="CP61" s="109"/>
      <c r="CQ61" s="109"/>
      <c r="CR61" s="109"/>
      <c r="CS61" s="109"/>
      <c r="CT61" s="109"/>
      <c r="CU61" s="109"/>
      <c r="CV61" s="109"/>
      <c r="CW61" s="109"/>
      <c r="CX61" s="109"/>
      <c r="CY61" s="109"/>
      <c r="CZ61" s="109"/>
      <c r="DA61" s="109"/>
      <c r="DB61" s="109"/>
      <c r="DC61" s="109"/>
      <c r="DE61" s="1" t="s">
        <v>56</v>
      </c>
      <c r="DJ61" s="100">
        <f>IMABS(CI63)</f>
        <v>3.2448000000000005E-2</v>
      </c>
      <c r="DK61" s="100"/>
      <c r="DL61" s="100"/>
      <c r="DM61" s="100"/>
      <c r="DN61" s="1" t="s">
        <v>9</v>
      </c>
      <c r="DO61" s="100">
        <f>DEGREES(IMARGUMENT(CI63))</f>
        <v>88.000958852439268</v>
      </c>
      <c r="DP61" s="100"/>
      <c r="DQ61" s="100"/>
      <c r="DR61" s="1" t="s">
        <v>56</v>
      </c>
    </row>
    <row r="62" spans="2:237" ht="18" customHeight="1" x14ac:dyDescent="0.25">
      <c r="B62" s="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9"/>
      <c r="AR62" s="7"/>
      <c r="CF62" s="9"/>
      <c r="CI62" s="1" t="s">
        <v>58</v>
      </c>
      <c r="CJ62" s="100">
        <f>SIN(ATAN(P29))*((P32^2)/P26)*(P28/100)</f>
        <v>3.242825250175399E-2</v>
      </c>
      <c r="CK62" s="100"/>
      <c r="CL62" s="100"/>
      <c r="CM62" s="100"/>
      <c r="CN62" s="100"/>
      <c r="CO62" s="100"/>
      <c r="CP62" s="100"/>
      <c r="CQ62" s="100"/>
      <c r="CR62" s="100"/>
      <c r="CS62" s="100"/>
      <c r="CT62" s="100"/>
      <c r="CU62" s="100"/>
      <c r="CV62" s="100"/>
      <c r="CW62" s="100"/>
      <c r="CX62" s="100"/>
      <c r="CY62" s="100"/>
      <c r="CZ62" s="100"/>
      <c r="DA62" s="100"/>
      <c r="DB62" s="100"/>
      <c r="DC62" s="100"/>
      <c r="DE62" s="1" t="s">
        <v>56</v>
      </c>
    </row>
    <row r="63" spans="2:237" ht="18" customHeight="1" x14ac:dyDescent="0.25">
      <c r="B63" s="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9"/>
      <c r="AR63" s="7"/>
      <c r="CF63" s="9"/>
      <c r="CI63" s="118" t="str">
        <f>COMPLEX(CJ61,CJ62)</f>
        <v>0.00113187617807169+0.032428252501754i</v>
      </c>
      <c r="CJ63" s="118"/>
      <c r="CK63" s="118"/>
      <c r="CL63" s="118"/>
      <c r="CM63" s="118"/>
      <c r="CN63" s="118"/>
      <c r="CO63" s="118"/>
      <c r="CP63" s="118"/>
      <c r="CQ63" s="118"/>
      <c r="CR63" s="118"/>
      <c r="CS63" s="118"/>
      <c r="CT63" s="118"/>
      <c r="CU63" s="118"/>
      <c r="CV63" s="118"/>
      <c r="CW63" s="118"/>
      <c r="CX63" s="118"/>
      <c r="CY63" s="118"/>
      <c r="CZ63" s="118"/>
      <c r="DA63" s="118"/>
      <c r="DB63" s="118"/>
      <c r="DC63" s="118"/>
      <c r="DD63" s="118"/>
      <c r="DE63" s="118"/>
      <c r="DF63" s="118"/>
      <c r="DG63" s="118"/>
      <c r="DH63" s="118"/>
      <c r="DI63" s="118"/>
      <c r="DJ63" s="118"/>
      <c r="DK63" s="118"/>
      <c r="DL63" s="15"/>
      <c r="DM63" s="15" t="s">
        <v>56</v>
      </c>
      <c r="DN63" s="15"/>
    </row>
    <row r="64" spans="2:237" ht="18" customHeight="1" x14ac:dyDescent="0.3">
      <c r="B64" s="7"/>
      <c r="C64" s="28" t="s">
        <v>96</v>
      </c>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9"/>
      <c r="AR64" s="7"/>
      <c r="CF64" s="9"/>
      <c r="CI64" s="31" t="s">
        <v>152</v>
      </c>
    </row>
    <row r="65" spans="2:181" ht="18" customHeight="1" x14ac:dyDescent="0.25">
      <c r="B65" s="7"/>
      <c r="AP65" s="9"/>
      <c r="AR65" s="7"/>
      <c r="BL65" s="1" t="str">
        <f>"Isc: "&amp;P23&amp;"kA"</f>
        <v>Isc: 1.2kA</v>
      </c>
      <c r="CF65" s="9"/>
      <c r="CI65" s="1" t="s">
        <v>55</v>
      </c>
      <c r="CJ65" s="109">
        <f>COS(ATAN(P34))*((P32^2)/P31)*(P33/100)</f>
        <v>5.5333670756018425E-3</v>
      </c>
      <c r="CK65" s="109"/>
      <c r="CL65" s="109"/>
      <c r="CM65" s="109"/>
      <c r="CN65" s="109"/>
      <c r="CO65" s="109"/>
      <c r="CP65" s="109"/>
      <c r="CQ65" s="109"/>
      <c r="CR65" s="109"/>
      <c r="CS65" s="109"/>
      <c r="CT65" s="109"/>
      <c r="CU65" s="109"/>
      <c r="CV65" s="109"/>
      <c r="CW65" s="109"/>
      <c r="CX65" s="109"/>
      <c r="CY65" s="109"/>
      <c r="CZ65" s="109"/>
      <c r="DA65" s="109"/>
      <c r="DB65" s="109"/>
      <c r="DC65" s="109"/>
      <c r="DE65" s="1" t="s">
        <v>56</v>
      </c>
      <c r="DJ65" s="100">
        <f>IMABS(CI67)</f>
        <v>0.13844479999999965</v>
      </c>
      <c r="DK65" s="100"/>
      <c r="DL65" s="100"/>
      <c r="DM65" s="100"/>
      <c r="DN65" s="1" t="s">
        <v>9</v>
      </c>
      <c r="DO65" s="100">
        <f>DEGREES(IMARGUMENT(CI67))</f>
        <v>87.709389957361481</v>
      </c>
      <c r="DP65" s="100"/>
      <c r="DQ65" s="100"/>
      <c r="DR65" s="1" t="s">
        <v>56</v>
      </c>
    </row>
    <row r="66" spans="2:181" ht="18" customHeight="1" x14ac:dyDescent="0.25">
      <c r="B66" s="7"/>
      <c r="AP66" s="9"/>
      <c r="AR66" s="7"/>
      <c r="BF66" s="19" t="str">
        <f>P22&amp;"kV Bus"</f>
        <v>34.5kV Bus</v>
      </c>
      <c r="BL66" s="1" t="str">
        <f>"X/R: "&amp;P24</f>
        <v>X/R: 7</v>
      </c>
      <c r="CF66" s="9"/>
      <c r="CI66" s="1" t="s">
        <v>58</v>
      </c>
      <c r="CJ66" s="100">
        <f>SIN(ATAN(P34))*((P32^2)/P31)*(P33/100)</f>
        <v>0.1383341768900464</v>
      </c>
      <c r="CK66" s="100"/>
      <c r="CL66" s="100"/>
      <c r="CM66" s="100"/>
      <c r="CN66" s="100"/>
      <c r="CO66" s="100"/>
      <c r="CP66" s="100"/>
      <c r="CQ66" s="100"/>
      <c r="CR66" s="100"/>
      <c r="CS66" s="100"/>
      <c r="CT66" s="100"/>
      <c r="CU66" s="100"/>
      <c r="CV66" s="100"/>
      <c r="CW66" s="100"/>
      <c r="CX66" s="100"/>
      <c r="CY66" s="100"/>
      <c r="CZ66" s="100"/>
      <c r="DA66" s="100"/>
      <c r="DB66" s="100"/>
      <c r="DC66" s="100"/>
      <c r="DE66" s="1" t="s">
        <v>56</v>
      </c>
    </row>
    <row r="67" spans="2:181" ht="18" customHeight="1" x14ac:dyDescent="0.25">
      <c r="B67" s="7"/>
      <c r="AP67" s="9"/>
      <c r="AR67" s="7"/>
      <c r="CF67" s="9"/>
      <c r="CI67" s="118" t="str">
        <f>COMPLEX(CJ65,CJ66)</f>
        <v>0.00553336707560184+0.138334176890046i</v>
      </c>
      <c r="CJ67" s="118"/>
      <c r="CK67" s="118"/>
      <c r="CL67" s="118"/>
      <c r="CM67" s="118"/>
      <c r="CN67" s="118"/>
      <c r="CO67" s="118"/>
      <c r="CP67" s="118"/>
      <c r="CQ67" s="118"/>
      <c r="CR67" s="118"/>
      <c r="CS67" s="118"/>
      <c r="CT67" s="118"/>
      <c r="CU67" s="118"/>
      <c r="CV67" s="118"/>
      <c r="CW67" s="118"/>
      <c r="CX67" s="118"/>
      <c r="CY67" s="118"/>
      <c r="CZ67" s="118"/>
      <c r="DA67" s="118"/>
      <c r="DB67" s="118"/>
      <c r="DC67" s="118"/>
      <c r="DD67" s="118"/>
      <c r="DE67" s="118"/>
      <c r="DF67" s="118"/>
      <c r="DG67" s="118"/>
      <c r="DH67" s="118"/>
      <c r="DI67" s="118"/>
      <c r="DJ67" s="118"/>
      <c r="DK67" s="118"/>
      <c r="DL67" s="15"/>
      <c r="DM67" s="15" t="s">
        <v>56</v>
      </c>
      <c r="DN67" s="15"/>
    </row>
    <row r="68" spans="2:181" ht="18" customHeight="1" x14ac:dyDescent="0.25">
      <c r="B68" s="7"/>
      <c r="AP68" s="9"/>
      <c r="AR68" s="7"/>
      <c r="CF68" s="9"/>
      <c r="CI68" s="31" t="s">
        <v>67</v>
      </c>
    </row>
    <row r="69" spans="2:181" ht="18" customHeight="1" x14ac:dyDescent="0.25">
      <c r="B69" s="7"/>
      <c r="AP69" s="9"/>
      <c r="AR69" s="7"/>
      <c r="BL69" s="1" t="str">
        <f>P26&amp;" MVA"</f>
        <v>40 MVA</v>
      </c>
      <c r="CF69" s="9"/>
      <c r="CI69" s="1" t="s">
        <v>55</v>
      </c>
      <c r="CJ69" s="100">
        <f>COS(ACOS(P42/100))*(((1000*P36/1.73))/P38)/(P41/100)</f>
        <v>0.10698154902596652</v>
      </c>
      <c r="CK69" s="100"/>
      <c r="CL69" s="100"/>
      <c r="CM69" s="100"/>
      <c r="CN69" s="100"/>
      <c r="CO69" s="100"/>
      <c r="CP69" s="100"/>
      <c r="CQ69" s="100"/>
      <c r="CR69" s="100"/>
      <c r="CS69" s="100"/>
      <c r="CT69" s="100"/>
      <c r="CU69" s="100"/>
      <c r="CV69" s="100"/>
      <c r="CW69" s="100"/>
      <c r="CX69" s="100"/>
      <c r="CY69" s="100"/>
      <c r="CZ69" s="100"/>
      <c r="DA69" s="100"/>
      <c r="DB69" s="100"/>
      <c r="DC69" s="100"/>
      <c r="DE69" s="1" t="s">
        <v>56</v>
      </c>
      <c r="DJ69" s="100">
        <f>IMABS(CI71)</f>
        <v>0.5349077451298323</v>
      </c>
      <c r="DK69" s="100"/>
      <c r="DL69" s="100"/>
      <c r="DM69" s="100"/>
      <c r="DN69" s="1" t="s">
        <v>9</v>
      </c>
      <c r="DO69" s="100">
        <f>DEGREES(IMARGUMENT(CI71))</f>
        <v>78.463040967184455</v>
      </c>
      <c r="DP69" s="100"/>
      <c r="DQ69" s="100"/>
      <c r="DR69" s="1" t="s">
        <v>56</v>
      </c>
    </row>
    <row r="70" spans="2:181" ht="18" customHeight="1" x14ac:dyDescent="0.25">
      <c r="B70" s="7"/>
      <c r="AP70" s="9"/>
      <c r="AR70" s="7"/>
      <c r="BL70" s="1" t="str">
        <f>P28&amp;"%"</f>
        <v>7.5%</v>
      </c>
      <c r="CF70" s="9"/>
      <c r="CI70" s="1" t="s">
        <v>58</v>
      </c>
      <c r="CJ70" s="100">
        <f>SIN(ACOS(P42/100))*(((1000*P36/1.73))/P38)/(P41/100)</f>
        <v>0.52410041401232088</v>
      </c>
      <c r="CK70" s="100"/>
      <c r="CL70" s="100"/>
      <c r="CM70" s="100"/>
      <c r="CN70" s="100"/>
      <c r="CO70" s="100"/>
      <c r="CP70" s="100"/>
      <c r="CQ70" s="100"/>
      <c r="CR70" s="100"/>
      <c r="CS70" s="100"/>
      <c r="CT70" s="100"/>
      <c r="CU70" s="100"/>
      <c r="CV70" s="100"/>
      <c r="CW70" s="100"/>
      <c r="CX70" s="100"/>
      <c r="CY70" s="100"/>
      <c r="CZ70" s="100"/>
      <c r="DA70" s="100"/>
      <c r="DB70" s="100"/>
      <c r="DC70" s="100"/>
      <c r="DE70" s="1" t="s">
        <v>56</v>
      </c>
    </row>
    <row r="71" spans="2:181" ht="18" customHeight="1" x14ac:dyDescent="0.25">
      <c r="B71" s="7"/>
      <c r="AP71" s="9"/>
      <c r="AR71" s="7"/>
      <c r="BE71" s="19" t="str">
        <f>P27&amp;"kV Bus"</f>
        <v>12.47kV Bus</v>
      </c>
      <c r="CF71" s="9"/>
      <c r="CI71" s="118" t="str">
        <f>COMPLEX(CJ69,CJ70)</f>
        <v>0.106981549025967+0.524100414012321i</v>
      </c>
      <c r="CJ71" s="118"/>
      <c r="CK71" s="118"/>
      <c r="CL71" s="118"/>
      <c r="CM71" s="118"/>
      <c r="CN71" s="118"/>
      <c r="CO71" s="118"/>
      <c r="CP71" s="118"/>
      <c r="CQ71" s="118"/>
      <c r="CR71" s="118"/>
      <c r="CS71" s="118"/>
      <c r="CT71" s="118"/>
      <c r="CU71" s="118"/>
      <c r="CV71" s="118"/>
      <c r="CW71" s="118"/>
      <c r="CX71" s="118"/>
      <c r="CY71" s="118"/>
      <c r="CZ71" s="118"/>
      <c r="DA71" s="118"/>
      <c r="DB71" s="118"/>
      <c r="DC71" s="118"/>
      <c r="DD71" s="118"/>
      <c r="DE71" s="118"/>
      <c r="DF71" s="118"/>
      <c r="DG71" s="118"/>
      <c r="DH71" s="118"/>
      <c r="DI71" s="118"/>
      <c r="DJ71" s="118"/>
      <c r="DK71" s="118"/>
      <c r="DL71" s="15"/>
      <c r="DM71" s="15" t="s">
        <v>56</v>
      </c>
      <c r="DN71" s="15"/>
    </row>
    <row r="72" spans="2:181" ht="18" customHeight="1" x14ac:dyDescent="0.25">
      <c r="B72" s="7"/>
      <c r="AP72" s="9"/>
      <c r="AR72" s="7"/>
      <c r="CF72" s="9"/>
      <c r="CI72" s="31" t="s">
        <v>73</v>
      </c>
    </row>
    <row r="73" spans="2:181" ht="18" customHeight="1" x14ac:dyDescent="0.25">
      <c r="B73" s="7"/>
      <c r="AP73" s="9"/>
      <c r="AR73" s="7"/>
      <c r="CF73" s="9"/>
      <c r="CI73" s="1" t="s">
        <v>55</v>
      </c>
      <c r="CJ73" s="100">
        <v>0</v>
      </c>
      <c r="CK73" s="100"/>
      <c r="CL73" s="100"/>
      <c r="CM73" s="100"/>
      <c r="CN73" s="100"/>
      <c r="CO73" s="100"/>
      <c r="CP73" s="100"/>
      <c r="CQ73" s="100"/>
      <c r="CR73" s="100"/>
      <c r="CS73" s="100"/>
      <c r="CT73" s="100"/>
      <c r="CU73" s="100"/>
      <c r="CV73" s="100"/>
      <c r="CW73" s="100"/>
      <c r="CX73" s="100"/>
      <c r="CY73" s="100"/>
      <c r="CZ73" s="100"/>
      <c r="DA73" s="100"/>
      <c r="DB73" s="100"/>
      <c r="DC73" s="100"/>
      <c r="DD73" s="100"/>
      <c r="DF73" s="1" t="s">
        <v>56</v>
      </c>
    </row>
    <row r="74" spans="2:181" ht="18" customHeight="1" x14ac:dyDescent="0.3">
      <c r="B74" s="7"/>
      <c r="C74" s="28" t="s">
        <v>103</v>
      </c>
      <c r="AP74" s="9"/>
      <c r="AR74" s="7"/>
      <c r="BL74" s="1" t="str">
        <f>P31&amp;" MVA"</f>
        <v>10 MVA</v>
      </c>
      <c r="CF74" s="9"/>
      <c r="CI74" s="1" t="s">
        <v>58</v>
      </c>
      <c r="CJ74" s="100">
        <f>IF(P45=0,1E+99,-P44*P44/P45)</f>
        <v>-0.64</v>
      </c>
      <c r="CK74" s="100"/>
      <c r="CL74" s="100"/>
      <c r="CM74" s="100"/>
      <c r="CN74" s="100"/>
      <c r="CO74" s="100"/>
      <c r="CP74" s="100"/>
      <c r="CQ74" s="100"/>
      <c r="CR74" s="100"/>
      <c r="CS74" s="100"/>
      <c r="CT74" s="100"/>
      <c r="CU74" s="100"/>
      <c r="CV74" s="100"/>
      <c r="CW74" s="100"/>
      <c r="CX74" s="100"/>
      <c r="CY74" s="100"/>
      <c r="CZ74" s="100"/>
      <c r="DA74" s="100"/>
      <c r="DB74" s="100"/>
      <c r="DC74" s="100"/>
      <c r="DD74" s="100"/>
      <c r="DF74" s="1" t="s">
        <v>56</v>
      </c>
      <c r="DM74" s="1" t="s">
        <v>56</v>
      </c>
    </row>
    <row r="75" spans="2:181" ht="18" customHeight="1" x14ac:dyDescent="0.25">
      <c r="B75" s="7"/>
      <c r="AP75" s="9"/>
      <c r="AR75" s="7"/>
      <c r="BL75" s="1" t="str">
        <f>P33&amp;"%"</f>
        <v>8%</v>
      </c>
      <c r="CC75" s="54"/>
      <c r="CE75" s="54"/>
      <c r="CF75" s="9"/>
      <c r="CI75" s="192" t="str">
        <f>COMPLEX(CJ73,CJ74)</f>
        <v>-0.64i</v>
      </c>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5"/>
      <c r="DM75" s="15" t="s">
        <v>56</v>
      </c>
      <c r="DN75" s="15"/>
    </row>
    <row r="76" spans="2:181" ht="18" customHeight="1" x14ac:dyDescent="0.25">
      <c r="B76" s="7"/>
      <c r="AP76" s="9"/>
      <c r="AR76" s="7"/>
      <c r="BD76" s="19" t="str">
        <f>P32&amp;"kV Bus"</f>
        <v>4.16kV Bus</v>
      </c>
      <c r="CF76" s="9"/>
      <c r="CI76" s="31" t="s">
        <v>78</v>
      </c>
      <c r="DX76" s="35"/>
      <c r="DY76" s="36"/>
      <c r="EY76" s="1" t="s">
        <v>93</v>
      </c>
      <c r="FR76" s="35"/>
      <c r="FS76" s="36"/>
      <c r="FT76" s="36"/>
      <c r="FU76" s="37"/>
      <c r="FX76" s="3"/>
      <c r="FY76" s="3"/>
    </row>
    <row r="77" spans="2:181" ht="18" customHeight="1" x14ac:dyDescent="0.25">
      <c r="B77" s="7"/>
      <c r="AP77" s="9"/>
      <c r="AR77" s="7"/>
      <c r="CF77" s="9"/>
      <c r="CI77" s="118" t="str">
        <f>IMSUM(CI71,CI63,CI59,CI67)</f>
        <v>0.147817597653693+0.934058481022488i</v>
      </c>
      <c r="CJ77" s="118"/>
      <c r="CK77" s="118"/>
      <c r="CL77" s="118"/>
      <c r="CM77" s="118"/>
      <c r="CN77" s="118"/>
      <c r="CO77" s="118"/>
      <c r="CP77" s="118"/>
      <c r="CQ77" s="118"/>
      <c r="CR77" s="118"/>
      <c r="CS77" s="118"/>
      <c r="CT77" s="118"/>
      <c r="CU77" s="118"/>
      <c r="CV77" s="118"/>
      <c r="CW77" s="118"/>
      <c r="CX77" s="118"/>
      <c r="CY77" s="118"/>
      <c r="CZ77" s="118"/>
      <c r="DA77" s="118"/>
      <c r="DB77" s="118"/>
      <c r="DC77" s="118"/>
      <c r="DD77" s="118"/>
      <c r="DE77" s="118"/>
      <c r="DF77" s="118"/>
      <c r="DG77" s="118"/>
      <c r="DH77" s="118"/>
      <c r="DI77" s="118"/>
      <c r="DJ77" s="118"/>
      <c r="DK77" s="118"/>
      <c r="DL77" s="15"/>
      <c r="DM77" s="15" t="s">
        <v>56</v>
      </c>
      <c r="DN77" s="15"/>
      <c r="DO77" s="15"/>
      <c r="DX77" s="35"/>
      <c r="DY77" s="36"/>
      <c r="EY77" s="47" t="str">
        <f>"Based on the data provided, this analysis evaluates the starting performance of a "&amp;TEXT(P37,"#,##0")&amp;" HP, "&amp;P36&amp;" kV motor connected to a utility system with a "&amp;P22&amp;" kV point of common coupling (PCC). The motor is connected to a captive transformer having a primary voltage of "&amp;P27&amp;"kV and secondary voltage rating of "&amp;P32&amp;"kV from a "&amp;P22&amp;"/"&amp;P27&amp;" step-down transformer. The utility short-circuit level at the PCC is "&amp;P23&amp;" kA (3-phase) with an X/R ratio of "&amp;P24&amp;", supplying the motor through a "&amp;P26&amp;" MVA, "&amp;P22&amp;" kV–"&amp;P27&amp;" kV step-down transformer with "&amp;P28&amp;"% leakage impedance.
The motor has a full-load current (FLA) of "&amp;P38&amp;" amps, a locked-rotor current (LRA) of "&amp;P41&amp;"% FLA, and a rated efficiency of "&amp;P40&amp;"% and power factor of "&amp;P39&amp;"%. To support motor starting, a MotorVAR system rated at "&amp;P45&amp;" MVAR at "&amp;P44&amp;"kV, configured in "&amp;P46&amp;" stages, is applied at the motor bus."</f>
        <v>Based on the data provided, this analysis evaluates the starting performance of a 5,000 HP, 4 kV motor connected to a utility system with a 34.5 kV point of common coupling (PCC). The motor is connected to a captive transformer having a primary voltage of 12.47kV and secondary voltage rating of 4.16kV from a 34.5/12.47 step-down transformer. The utility short-circuit level at the PCC is 1.2 kA (3-phase) with an X/R ratio of 7, supplying the motor through a 40 MVA, 34.5 kV–12.47 kV step-down transformer with 7.5% leakage impedance.
The motor has a full-load current (FLA) of 665 amps, a locked-rotor current (LRA) of 650% FLA, and a rated efficiency of 90% and power factor of 90%. To support motor starting, a MotorVAR system rated at 25 MVAR at 4kV, configured in 3 stages, is applied at the motor bus.</v>
      </c>
      <c r="FR77" s="35"/>
      <c r="FS77" s="36"/>
      <c r="FT77" s="36"/>
      <c r="FU77" s="37"/>
      <c r="FX77" s="3"/>
      <c r="FY77" s="3"/>
    </row>
    <row r="78" spans="2:181" ht="18" customHeight="1" x14ac:dyDescent="0.25">
      <c r="B78" s="7"/>
      <c r="AP78" s="9"/>
      <c r="AR78" s="7"/>
      <c r="CF78" s="9"/>
      <c r="DI78" s="19" t="s">
        <v>82</v>
      </c>
      <c r="DJ78" s="110">
        <f>IMABS(CI77)</f>
        <v>0.94568244572168436</v>
      </c>
      <c r="DK78" s="110"/>
      <c r="DL78" s="110"/>
      <c r="DM78" s="110"/>
      <c r="DN78" s="3" t="s">
        <v>9</v>
      </c>
      <c r="DO78" s="93">
        <f>DEGREES(IMARGUMENT(CI77))</f>
        <v>81.007344383989803</v>
      </c>
      <c r="DP78" s="93"/>
      <c r="DQ78" s="93"/>
      <c r="DR78" s="1" t="s">
        <v>56</v>
      </c>
      <c r="DX78" s="35"/>
      <c r="DY78" s="36"/>
      <c r="FR78" s="35"/>
      <c r="FS78" s="36"/>
      <c r="FT78" s="36"/>
      <c r="FU78" s="37"/>
      <c r="FX78" s="3"/>
      <c r="FY78" s="3"/>
    </row>
    <row r="79" spans="2:181" ht="18" customHeight="1" x14ac:dyDescent="0.25">
      <c r="B79" s="7"/>
      <c r="AP79" s="9"/>
      <c r="AR79" s="7"/>
      <c r="CF79" s="9"/>
      <c r="CI79" s="31" t="s">
        <v>83</v>
      </c>
      <c r="DX79" s="35"/>
      <c r="DY79" s="36"/>
      <c r="EY79" s="1" t="s">
        <v>94</v>
      </c>
      <c r="FR79" s="35"/>
      <c r="FS79" s="36"/>
      <c r="FT79" s="36"/>
      <c r="FU79" s="37"/>
      <c r="FX79" s="3"/>
      <c r="FY79" s="3"/>
    </row>
    <row r="80" spans="2:181" ht="18" customHeight="1" x14ac:dyDescent="0.25">
      <c r="B80" s="7"/>
      <c r="AP80" s="9"/>
      <c r="AR80" s="7"/>
      <c r="CF80" s="9"/>
      <c r="CI80" s="118" t="str">
        <f>IMDIV(IMPRODUCT(CI75,CI71),IMSUM(CI75,CI71))</f>
        <v>1.76139781684541+1.26822884497993i</v>
      </c>
      <c r="CJ80" s="118"/>
      <c r="CK80" s="118"/>
      <c r="CL80" s="118"/>
      <c r="CM80" s="118"/>
      <c r="CN80" s="118"/>
      <c r="CO80" s="118"/>
      <c r="CP80" s="118"/>
      <c r="CQ80" s="118"/>
      <c r="CR80" s="118"/>
      <c r="CS80" s="118"/>
      <c r="CT80" s="118"/>
      <c r="CU80" s="118"/>
      <c r="CV80" s="118"/>
      <c r="CW80" s="118"/>
      <c r="CX80" s="118"/>
      <c r="CY80" s="118"/>
      <c r="CZ80" s="118"/>
      <c r="DA80" s="118"/>
      <c r="DB80" s="118"/>
      <c r="DC80" s="118"/>
      <c r="DD80" s="118"/>
      <c r="DE80" s="118"/>
      <c r="DF80" s="118"/>
      <c r="DG80" s="118"/>
      <c r="DH80" s="118"/>
      <c r="DI80" s="118"/>
      <c r="DJ80" s="118"/>
      <c r="DK80" s="118"/>
      <c r="DL80" s="31"/>
      <c r="DN80" s="100">
        <f>IMABS(CI80)</f>
        <v>2.1704669249787947</v>
      </c>
      <c r="DO80" s="100"/>
      <c r="DP80" s="100"/>
      <c r="DQ80" s="100"/>
      <c r="DR80" s="1" t="s">
        <v>9</v>
      </c>
      <c r="DS80" s="100">
        <f>DEGREES(IMARGUMENT(CI80))</f>
        <v>35.754367486300474</v>
      </c>
      <c r="DT80" s="100"/>
      <c r="DU80" s="100"/>
      <c r="DV80" s="100"/>
      <c r="DW80" s="1" t="s">
        <v>56</v>
      </c>
      <c r="DX80" s="35"/>
      <c r="DY80" s="36"/>
      <c r="EY80" s="47" t="str">
        <f>"Without MotorVAR assistance, the motor draws approximately "&amp;ROUND(CZ8,0)&amp;" amps ("&amp;ROUND(CZ9*100,1)&amp;"% of FLA) during starting. This results in a voltage drop, with the motor terminal voltage dropping to near "&amp;BH13&amp;", or "&amp;ROUND(BH14*100,1)&amp;"% of rated voltage. Correspondingly, available starting torque drops to approximately "&amp;ROUND(BH15*100,1)&amp;"% of rated torque, increasing the risk of stalled or prolonged motor acceleration.
From a system perspective, the voltage at the "&amp;P22&amp;" kV PCC drops to near "&amp;BH20&amp;", or "&amp;ROUND(BH21*100,1)&amp;"% of rated voltage and the "&amp;P27&amp;" kV secondary bus drops to near "&amp;BH24&amp;" or "&amp;ROUND(BH25*100,1)&amp;"% of nominal voltage, representing a voltage sags of near "&amp;ROUND(BH22*100,1)&amp;"% and "&amp;ROUND(BH26*100,1)&amp;_xlfn._LONGTEXT("% respectively. Typical performance objectives call for a voltage of no lower than 90% of nominal at the secondary bus and 96% voltage at the primary. When these objectives are not met, alternate starting means are necessary.
The starting current reflect","ed into the utility system is approximately ")&amp;BH32&amp;" at "&amp;P22&amp;" kV, or "&amp;ROUND(BH12*100,1)&amp;"% FLA."</f>
        <v>Without MotorVAR assistance, the motor draws approximately 2543 amps (382.4% of FLA) during starting. This results in a voltage drop, with the motor terminal voltage dropping to near 2.35 kV, or 58.8% of rated voltage. Correspondingly, available starting torque drops to approximately 34.6% of rated torque, increasing the risk of stalled or prolonged motor acceleration.
From a system perspective, the voltage at the 34.5 kV PCC drops to near 25.69 kV, or 74.5% of rated voltage and the 12.47 kV secondary bus drops to near 8.86 kV or 71.1% of nominal voltage, representing a voltage sags of near 25.5% and 28.9% respectively. Typical performance objectives call for a voltage of no lower than 90% of nominal at the secondary bus and 96% voltage at the primary. When these objectives are not met, alternate starting means are necessary.
The starting current reflected into the utility system is approximately 307 amps at 34.5 kV, or 382.4% FLA.</v>
      </c>
      <c r="FR80" s="35"/>
      <c r="FS80" s="36"/>
      <c r="FT80" s="36"/>
      <c r="FU80" s="37"/>
      <c r="FX80" s="3"/>
      <c r="FY80" s="3"/>
    </row>
    <row r="81" spans="2:181" ht="18" customHeight="1" x14ac:dyDescent="0.25">
      <c r="B81" s="7"/>
      <c r="AP81" s="9"/>
      <c r="AR81" s="7"/>
      <c r="CF81" s="9"/>
      <c r="CI81" s="31" t="s">
        <v>85</v>
      </c>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FR81" s="35"/>
      <c r="FS81" s="36"/>
      <c r="FT81" s="36"/>
      <c r="FU81" s="37"/>
      <c r="FX81" s="3"/>
      <c r="FY81" s="3"/>
    </row>
    <row r="82" spans="2:181" ht="18" customHeight="1" x14ac:dyDescent="0.25">
      <c r="B82" s="7"/>
      <c r="AP82" s="9"/>
      <c r="AR82" s="7"/>
      <c r="CF82" s="9"/>
      <c r="CI82" s="118" t="str">
        <f>IMSUM(CI80,CI63,CI59,CI67)</f>
        <v>1.80223386547314+1.6781869119901i</v>
      </c>
      <c r="CJ82" s="118"/>
      <c r="CK82" s="118"/>
      <c r="CL82" s="118"/>
      <c r="CM82" s="118"/>
      <c r="CN82" s="118"/>
      <c r="CO82" s="118"/>
      <c r="CP82" s="118"/>
      <c r="CQ82" s="118"/>
      <c r="CR82" s="118"/>
      <c r="CS82" s="118"/>
      <c r="CT82" s="118"/>
      <c r="CU82" s="118"/>
      <c r="CV82" s="118"/>
      <c r="CW82" s="118"/>
      <c r="CX82" s="118"/>
      <c r="CY82" s="118"/>
      <c r="CZ82" s="118"/>
      <c r="DA82" s="118"/>
      <c r="DB82" s="118"/>
      <c r="DC82" s="118"/>
      <c r="DD82" s="118"/>
      <c r="DE82" s="118"/>
      <c r="DF82" s="118"/>
      <c r="DG82" s="118"/>
      <c r="DH82" s="118"/>
      <c r="DI82" s="118"/>
      <c r="DJ82" s="118"/>
      <c r="DK82" s="118"/>
      <c r="DL82" s="118"/>
      <c r="EY82" s="1" t="s">
        <v>95</v>
      </c>
      <c r="FR82" s="35"/>
      <c r="FS82" s="36"/>
      <c r="FT82" s="36"/>
      <c r="FU82" s="37"/>
      <c r="FX82" s="3"/>
      <c r="FY82" s="3"/>
    </row>
    <row r="83" spans="2:181" ht="18" customHeight="1" x14ac:dyDescent="0.3">
      <c r="B83" s="7"/>
      <c r="C83" s="28" t="s">
        <v>104</v>
      </c>
      <c r="AP83" s="9"/>
      <c r="AR83" s="7"/>
      <c r="BO83" s="100" t="str">
        <f>TEXT(P37,"#,##0") &amp; " HP Motor"</f>
        <v>5,000 HP Motor</v>
      </c>
      <c r="BP83" s="100"/>
      <c r="BQ83" s="100"/>
      <c r="BR83" s="100"/>
      <c r="BS83" s="100"/>
      <c r="BT83" s="100"/>
      <c r="CF83" s="9"/>
      <c r="CI83" s="1" t="s">
        <v>12</v>
      </c>
      <c r="DI83" s="19" t="s">
        <v>82</v>
      </c>
      <c r="DJ83" s="110">
        <f>IMABS(CI82)</f>
        <v>2.4625917683272482</v>
      </c>
      <c r="DK83" s="110"/>
      <c r="DL83" s="110"/>
      <c r="DM83" s="110"/>
      <c r="DN83" s="3" t="s">
        <v>9</v>
      </c>
      <c r="DO83" s="93">
        <f>DEGREES(IMARGUMENT(CI82))</f>
        <v>42.958764146835655</v>
      </c>
      <c r="DP83" s="93"/>
      <c r="DQ83" s="93"/>
      <c r="DR83" s="1" t="s">
        <v>56</v>
      </c>
      <c r="EY83" s="48" t="str">
        <f>"With the MotorVAR system engaged, motor starting performance improves substantially. Starting current at the motor terminals is increased to "&amp;ROUND(EG11,1)&amp;" amps ("&amp;ROUND(EG9*100,1)&amp;"% of FLA), while motor terminal voltage is maintained at near "&amp;ROUND(EG15/1000,1)&amp;" kV, or "&amp;ROUND(EG16*100,1)&amp;"% of rated voltage. This enables the motor to develop approximately "&amp;ROUND(EG13*100,1)&amp;"% of rated torque at starting, providing stronger acceleration and more stable operation.
System voltage performance is also significantly improved. Voltage at the "&amp;ROUND(P22,1)&amp;"kV PCC and the "&amp;ROUND(P27,1)&amp;" kV bus remain at approximately "&amp;ROUND(BS21*100,1)&amp;"% and "&amp;ROUND(BS25*100,1)&amp;"% of nominal, respectively. The starting current seen by the "&amp;ROUND(P22,1)&amp;" kV and "&amp;ROUND(P27,1)&amp;" kV system are reduced to approximately "&amp;ROUND(BS35*100,1)&amp;" %FLA respective of voltage transformations, greatly mitigating upstream system disturbances. As the system pulls into synchronism, the "&amp;ROUND(P46,1)&amp;" stage MotorVAR system limits the voltage fluctuations to approximately "&amp;BS38&amp;"% of the nominal system voltage at the "&amp;ROUND(P27,1)&amp;"kV bus and "&amp;BS37&amp;" at the "&amp;P32&amp;" kV bus."</f>
        <v>With the MotorVAR system engaged, motor starting performance improves substantially. Starting current at the motor terminals is increased to 3962.1 amps (146.8% of FLA), while motor terminal voltage is maintained at near 3.7 kV, or 91.7% of rated voltage. This enables the motor to develop approximately 84% of rated torque at starting, providing stronger acceleration and more stable operation.
System voltage performance is also significantly improved. Voltage at the 34.5kV PCC and the 12.5 kV bus remain at approximately 92.6% and 91.7% of nominal, respectively. The starting current seen by the 34.5 kV and 12.5 kV system are reduced to approximately 146.8 %FLA respective of voltage transformations, greatly mitigating upstream system disturbances. As the system pulls into synchronism, the 3 stage MotorVAR system limits the voltage fluctuations to approximately ±2.2%% of the nominal system voltage at the 12.5kV bus and ±9.92% at the 4.16 kV bus.</v>
      </c>
      <c r="FR83" s="35"/>
      <c r="FS83" s="36"/>
      <c r="FT83" s="36"/>
      <c r="FU83" s="37"/>
      <c r="FX83" s="3"/>
      <c r="FY83" s="3"/>
    </row>
    <row r="84" spans="2:181" ht="18" customHeight="1" x14ac:dyDescent="0.25">
      <c r="B84" s="7"/>
      <c r="AP84" s="9"/>
      <c r="AR84" s="7"/>
      <c r="BO84" s="100" t="str">
        <f>"FLA: "&amp;ROUND(P38,0)&amp;"A"</f>
        <v>FLA: 665A</v>
      </c>
      <c r="BP84" s="100"/>
      <c r="BQ84" s="100"/>
      <c r="BR84" s="100"/>
      <c r="BS84" s="100"/>
      <c r="BT84" s="100"/>
      <c r="CF84" s="9"/>
      <c r="DX84" s="35"/>
      <c r="DY84" s="36"/>
      <c r="DZ84" s="36"/>
      <c r="EA84" s="37"/>
    </row>
    <row r="85" spans="2:181" ht="18" customHeight="1" x14ac:dyDescent="0.25">
      <c r="B85" s="7"/>
      <c r="AP85" s="9"/>
      <c r="AR85" s="7"/>
      <c r="BO85" s="100" t="str">
        <f>"LRA: "&amp;P41&amp;"%"</f>
        <v>LRA: 650%</v>
      </c>
      <c r="BP85" s="100"/>
      <c r="BQ85" s="100"/>
      <c r="BR85" s="100"/>
      <c r="BS85" s="100"/>
      <c r="BT85" s="100"/>
      <c r="CF85" s="9"/>
      <c r="CI85" s="1" t="s">
        <v>153</v>
      </c>
      <c r="DK85" s="19" t="str">
        <f>"Short Circuit Current at at "&amp;P32&amp;"kV bus:"</f>
        <v>Short Circuit Current at at 4.16kV bus:</v>
      </c>
      <c r="DM85" s="100" t="str">
        <f>IMDIV(P32/1.73,IMSUM(CI59,CI63,CI67))</f>
        <v>0.578527678568157-5.80790984406487i</v>
      </c>
      <c r="DN85" s="100"/>
      <c r="DO85" s="100"/>
      <c r="DP85" s="100"/>
      <c r="DQ85" s="100"/>
      <c r="DR85" s="100"/>
      <c r="DS85" s="100"/>
      <c r="DT85" s="100"/>
      <c r="DU85" s="100"/>
      <c r="DV85" s="100"/>
      <c r="DW85" s="100"/>
      <c r="DX85" s="100"/>
      <c r="DY85" s="100"/>
      <c r="DZ85" s="37" t="s">
        <v>89</v>
      </c>
      <c r="EA85" s="1"/>
    </row>
    <row r="86" spans="2:181" ht="18" customHeight="1" x14ac:dyDescent="0.25">
      <c r="B86" s="7"/>
      <c r="AP86" s="9"/>
      <c r="AR86" s="7"/>
      <c r="CF86" s="9"/>
      <c r="DK86" s="19" t="str">
        <f>"Short Circuit Current at at "&amp;P32&amp;"kV bus:"</f>
        <v>Short Circuit Current at at 4.16kV bus:</v>
      </c>
      <c r="DM86" s="100">
        <f>IMABS(DM85)</f>
        <v>5.8366523822868768</v>
      </c>
      <c r="DN86" s="100"/>
      <c r="DO86" s="100"/>
      <c r="DP86" s="100"/>
      <c r="DQ86" s="1" t="s">
        <v>89</v>
      </c>
      <c r="DW86" s="35"/>
      <c r="DX86" s="36"/>
      <c r="DY86" s="36"/>
      <c r="DZ86" s="37"/>
      <c r="EA86" s="1"/>
    </row>
    <row r="87" spans="2:181" ht="18" customHeight="1" x14ac:dyDescent="0.25">
      <c r="B87" s="7"/>
      <c r="AP87" s="9"/>
      <c r="AR87" s="7"/>
      <c r="CB87" s="91" t="str">
        <f>"Voltage change per stage at the "&amp;P32&amp;" kV Bus:"</f>
        <v>Voltage change per stage at the 4.16 kV Bus:</v>
      </c>
      <c r="CC87" s="177" t="str">
        <f>"±"&amp;ROUND((100*P45/P46)/DM87/2,2)&amp;"%"</f>
        <v>±9.92%</v>
      </c>
      <c r="CD87" s="177"/>
      <c r="CE87" s="177"/>
      <c r="CF87" s="9"/>
      <c r="DK87" s="19" t="str">
        <f>"MVA short circuit at "&amp;P32&amp;"kV bus:"</f>
        <v>MVA short circuit at 4.16kV bus:</v>
      </c>
      <c r="DM87" s="100">
        <f>DM86*1.73*P32</f>
        <v>42.005219864842189</v>
      </c>
      <c r="DN87" s="100"/>
      <c r="DO87" s="100"/>
      <c r="DP87" s="100"/>
      <c r="DQ87" s="1" t="s">
        <v>91</v>
      </c>
      <c r="DW87" s="35"/>
      <c r="DX87" s="36"/>
      <c r="DY87" s="36"/>
      <c r="DZ87" s="37"/>
      <c r="EA87" s="1"/>
    </row>
    <row r="88" spans="2:181" ht="18" customHeight="1" x14ac:dyDescent="0.25">
      <c r="B88" s="7"/>
      <c r="AP88" s="9"/>
      <c r="AR88" s="7"/>
      <c r="CB88" s="91" t="str">
        <f>"Voltage change per stage at the "&amp;P27&amp;" kV Bus:"</f>
        <v>Voltage change per stage at the 12.47 kV Bus:</v>
      </c>
      <c r="CC88" s="177" t="str">
        <f>"±"&amp;ROUND((100*P45/P46)/DM91/2,2)&amp;"%"</f>
        <v>±2.2%</v>
      </c>
      <c r="CD88" s="177"/>
      <c r="CE88" s="177"/>
      <c r="CF88" s="9"/>
    </row>
    <row r="89" spans="2:181" ht="18" customHeight="1" x14ac:dyDescent="0.25">
      <c r="B89" s="7"/>
      <c r="AP89" s="9"/>
      <c r="AR89" s="7"/>
      <c r="BN89" s="86"/>
      <c r="BO89" s="86"/>
      <c r="BP89" s="86"/>
      <c r="BQ89" s="86"/>
      <c r="BR89" s="86"/>
      <c r="BS89" s="86"/>
      <c r="BT89" s="86"/>
      <c r="BU89" s="86"/>
      <c r="BV89" s="86"/>
      <c r="BW89" s="86"/>
      <c r="BX89" s="86"/>
      <c r="BY89" s="86"/>
      <c r="BZ89" s="86"/>
      <c r="CF89" s="9"/>
      <c r="DK89" s="19" t="str">
        <f>"Short Circuit Current at at "&amp;P27&amp;"kV bus:"</f>
        <v>Short Circuit Current at at 12.47kV bus:</v>
      </c>
      <c r="DM89" s="1" t="str">
        <f>IMDIV(P32/1.73,IMSUM(CI59,CI63))</f>
        <v>1.13147298495462-8.70571526657035i</v>
      </c>
    </row>
    <row r="90" spans="2:181" ht="18" customHeight="1" x14ac:dyDescent="0.25">
      <c r="B90" s="7"/>
      <c r="AP90" s="9"/>
      <c r="AR90" s="7"/>
      <c r="BN90" s="86"/>
      <c r="BO90" s="86"/>
      <c r="BP90" s="86"/>
      <c r="BQ90" s="86"/>
      <c r="BR90" s="86"/>
      <c r="BS90" s="86"/>
      <c r="BT90" s="86"/>
      <c r="BU90" s="86"/>
      <c r="BV90" s="86"/>
      <c r="BW90" s="86"/>
      <c r="BX90" s="86"/>
      <c r="BY90" s="86"/>
      <c r="BZ90" s="86"/>
      <c r="CA90" s="86"/>
      <c r="CF90" s="9"/>
      <c r="DK90" s="19" t="str">
        <f>"Short Circuit Current at at "&amp;P27&amp;"kV bus:"</f>
        <v>Short Circuit Current at at 12.47kV bus:</v>
      </c>
      <c r="DM90" s="100">
        <f>IMABS(DM89)</f>
        <v>8.7789355515505498</v>
      </c>
      <c r="DN90" s="100"/>
      <c r="DO90" s="100"/>
      <c r="DP90" s="100"/>
      <c r="DQ90" s="1" t="s">
        <v>89</v>
      </c>
    </row>
    <row r="91" spans="2:181" ht="18" customHeight="1" x14ac:dyDescent="0.25">
      <c r="B91" s="7"/>
      <c r="AP91" s="9"/>
      <c r="AR91" s="7"/>
      <c r="CF91" s="9"/>
      <c r="DK91" s="19" t="str">
        <f>"MVA Circuit Current at at "&amp;P27&amp;"kV bus:"</f>
        <v>MVA Circuit Current at at 12.47kV bus:</v>
      </c>
      <c r="DM91" s="100">
        <f>DM90*1.73*P27</f>
        <v>189.38885454715518</v>
      </c>
      <c r="DN91" s="100"/>
      <c r="DO91" s="100"/>
      <c r="DP91" s="100"/>
    </row>
    <row r="92" spans="2:181" ht="18" customHeight="1" x14ac:dyDescent="0.25">
      <c r="B92" s="7"/>
      <c r="AP92" s="9"/>
      <c r="AR92" s="7"/>
      <c r="CF92" s="9"/>
    </row>
    <row r="93" spans="2:181" ht="18" customHeight="1" x14ac:dyDescent="0.25">
      <c r="B93" s="7"/>
      <c r="AP93" s="9"/>
      <c r="AR93" s="7"/>
      <c r="BA93" s="100" t="str">
        <f>P46&amp;" Stage MotorVAR"</f>
        <v>3 Stage MotorVAR</v>
      </c>
      <c r="BB93" s="100"/>
      <c r="BC93" s="100"/>
      <c r="BD93" s="100"/>
      <c r="BE93" s="100"/>
      <c r="BF93" s="100"/>
      <c r="BG93" s="100"/>
      <c r="BH93" s="100"/>
      <c r="CF93" s="9"/>
    </row>
    <row r="94" spans="2:181" ht="18" customHeight="1" x14ac:dyDescent="0.25">
      <c r="B94" s="7"/>
      <c r="AP94" s="9"/>
      <c r="AR94" s="7"/>
      <c r="BA94" s="100" t="str">
        <f>P44&amp;"KV, "&amp;P45&amp;" MVAR"</f>
        <v>4KV, 25 MVAR</v>
      </c>
      <c r="BB94" s="100"/>
      <c r="BC94" s="100"/>
      <c r="BD94" s="100"/>
      <c r="BE94" s="100"/>
      <c r="BF94" s="100"/>
      <c r="BG94" s="100"/>
      <c r="BH94" s="100"/>
      <c r="CF94" s="9"/>
    </row>
    <row r="95" spans="2:181" ht="18" customHeight="1" x14ac:dyDescent="0.25">
      <c r="B95" s="7"/>
      <c r="AP95" s="9"/>
      <c r="AR95" s="7"/>
      <c r="CF95" s="9"/>
    </row>
    <row r="96" spans="2:181"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row>
    <row r="97" spans="2:146" ht="18" customHeight="1" x14ac:dyDescent="0.25">
      <c r="B97" s="7"/>
      <c r="D97" s="43" t="s">
        <v>86</v>
      </c>
      <c r="AO97" s="19" t="s">
        <v>105</v>
      </c>
      <c r="AP97" s="9"/>
      <c r="AR97" s="7"/>
      <c r="AT97" s="43" t="s">
        <v>86</v>
      </c>
      <c r="CE97" s="19" t="s">
        <v>106</v>
      </c>
      <c r="CF97" s="9"/>
    </row>
    <row r="98" spans="2:146" ht="18" customHeight="1" x14ac:dyDescent="0.25">
      <c r="B98" s="44"/>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6"/>
      <c r="AR98" s="44"/>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6"/>
    </row>
    <row r="99" spans="2:146" ht="18" customHeight="1" x14ac:dyDescent="0.25">
      <c r="DD99" s="31" t="s">
        <v>17</v>
      </c>
      <c r="DE99" s="31"/>
      <c r="DF99" s="31"/>
      <c r="DG99" s="31"/>
      <c r="DH99" s="31"/>
      <c r="DI99" s="31"/>
      <c r="DJ99" s="31"/>
      <c r="DK99" s="31"/>
      <c r="DL99" s="31"/>
      <c r="DM99" s="31"/>
      <c r="DN99" s="31"/>
      <c r="DO99" s="31"/>
      <c r="DP99" s="31"/>
      <c r="DQ99" s="31"/>
      <c r="DR99" s="101" t="s">
        <v>97</v>
      </c>
      <c r="DS99" s="101"/>
      <c r="DT99" s="101"/>
      <c r="DU99" s="101"/>
      <c r="DV99" s="101"/>
      <c r="DW99" s="101"/>
      <c r="DX99" s="101"/>
      <c r="DY99" s="101"/>
      <c r="DZ99" s="101"/>
      <c r="EA99" s="13"/>
      <c r="EB99" s="31"/>
      <c r="EC99" s="31" t="s">
        <v>98</v>
      </c>
      <c r="ED99" s="49"/>
      <c r="EE99" s="49"/>
      <c r="EF99" s="49"/>
      <c r="EG99" s="49"/>
      <c r="EH99" s="49"/>
      <c r="EI99" s="49"/>
    </row>
    <row r="100" spans="2:146" ht="18" customHeight="1" x14ac:dyDescent="0.25">
      <c r="B100" s="4"/>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6"/>
      <c r="AR100" s="4"/>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6"/>
      <c r="DQ100" s="19" t="s">
        <v>99</v>
      </c>
      <c r="DR100" s="98">
        <f>BH12</f>
        <v>3.8236686886137434</v>
      </c>
      <c r="DS100" s="98"/>
      <c r="DT100" s="98"/>
      <c r="DU100" s="98"/>
      <c r="DV100" s="98"/>
      <c r="DW100" s="98"/>
      <c r="DX100" s="98"/>
      <c r="DY100" s="98"/>
      <c r="EC100" s="98">
        <f>BS12</f>
        <v>5.958095288697832</v>
      </c>
      <c r="ED100" s="98"/>
      <c r="EE100" s="98"/>
      <c r="EF100" s="98"/>
      <c r="EG100" s="98"/>
      <c r="EH100" s="98"/>
      <c r="EI100" s="98"/>
    </row>
    <row r="101" spans="2:146" ht="18" customHeight="1" x14ac:dyDescent="0.25">
      <c r="B101" s="7"/>
      <c r="AN101" s="8"/>
      <c r="AP101" s="9"/>
      <c r="AR101" s="7"/>
      <c r="CD101" s="8"/>
      <c r="CF101" s="9"/>
      <c r="DQ101" s="19" t="s">
        <v>102</v>
      </c>
      <c r="DR101" s="98">
        <f>BH35</f>
        <v>3.8236686886137434</v>
      </c>
      <c r="DS101" s="98"/>
      <c r="DT101" s="98"/>
      <c r="DU101" s="98"/>
      <c r="DV101" s="98"/>
      <c r="DW101" s="98"/>
      <c r="DX101" s="98"/>
      <c r="DY101" s="98"/>
      <c r="EC101" s="98">
        <f>BS35</f>
        <v>1.4683620742929195</v>
      </c>
      <c r="ED101" s="98"/>
      <c r="EE101" s="98"/>
      <c r="EF101" s="98"/>
      <c r="EG101" s="98"/>
      <c r="EH101" s="98"/>
      <c r="EI101" s="98"/>
      <c r="EK101" s="50" t="str">
        <f>"| ✓ "&amp;TEXT(-1*(DR102-EC102)/DR102,"0%")&amp;" Higher Starting Torque"
&amp;CHAR(10)&amp;"| ✓ "&amp;TEXT((DR105-EC105)/DR105,"0%")&amp;" Lower System Inrush Current Reduction"</f>
        <v>| ✓ 143% Higher Starting Torque
| ✓ -50% Lower System Inrush Current Reduction</v>
      </c>
    </row>
    <row r="102" spans="2:146" ht="18" customHeight="1" x14ac:dyDescent="0.25">
      <c r="B102" s="7"/>
      <c r="AN102" s="10"/>
      <c r="AP102" s="9"/>
      <c r="AR102" s="7"/>
      <c r="CD102" s="10"/>
      <c r="CF102" s="9"/>
      <c r="DQ102" s="19" t="s">
        <v>101</v>
      </c>
      <c r="DR102" s="98">
        <f>BH15</f>
        <v>0.3460459701842637</v>
      </c>
      <c r="DS102" s="98"/>
      <c r="DT102" s="98"/>
      <c r="DU102" s="98"/>
      <c r="DV102" s="98"/>
      <c r="DW102" s="98"/>
      <c r="DX102" s="98"/>
      <c r="DY102" s="98"/>
      <c r="EC102" s="98">
        <f>BS15</f>
        <v>0.8402106383243384</v>
      </c>
      <c r="ED102" s="98"/>
      <c r="EE102" s="98"/>
      <c r="EF102" s="98"/>
      <c r="EG102" s="98"/>
      <c r="EH102" s="98"/>
      <c r="EI102" s="98"/>
      <c r="EL102" s="51"/>
      <c r="EM102" s="51"/>
      <c r="EN102" s="51"/>
      <c r="EO102" s="51"/>
      <c r="EP102" s="51"/>
    </row>
    <row r="103" spans="2:146" ht="18" customHeight="1" thickBot="1" x14ac:dyDescent="0.3">
      <c r="B103" s="7"/>
      <c r="C103" s="11" t="str">
        <f>C7</f>
        <v>MotorVAR™ - MOTOR START CAPACITOR BANK - SIZING TOOL 
CAPTIVE TRANSFORMER CONFIGURATION</v>
      </c>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2"/>
      <c r="AO103" s="11"/>
      <c r="AP103" s="9"/>
      <c r="AR103" s="7"/>
      <c r="AS103" s="11" t="str">
        <f>C7</f>
        <v>MotorVAR™ - MOTOR START CAPACITOR BANK - SIZING TOOL 
CAPTIVE TRANSFORMER CONFIGURATION</v>
      </c>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2"/>
      <c r="CE103" s="11"/>
      <c r="CF103" s="9"/>
      <c r="DQ103" s="19" t="str">
        <f>BF20</f>
        <v>Voltage at Primary (PCC) 34.5 kV Bus:</v>
      </c>
      <c r="DR103" s="98">
        <f>BH21</f>
        <v>0.74453654292312221</v>
      </c>
      <c r="DS103" s="98"/>
      <c r="DT103" s="98"/>
      <c r="DU103" s="98"/>
      <c r="DV103" s="98"/>
      <c r="DW103" s="98"/>
      <c r="DX103" s="98"/>
      <c r="DY103" s="98"/>
      <c r="EC103" s="98">
        <f>BS21</f>
        <v>0.92570623971685539</v>
      </c>
      <c r="ED103" s="98"/>
      <c r="EE103" s="98"/>
      <c r="EF103" s="98"/>
      <c r="EG103" s="98"/>
      <c r="EH103" s="98"/>
      <c r="EI103" s="98"/>
      <c r="EK103" s="52"/>
      <c r="EL103" s="51"/>
      <c r="EM103" s="51"/>
      <c r="EN103" s="51"/>
      <c r="EO103" s="51"/>
      <c r="EP103" s="51"/>
    </row>
    <row r="104" spans="2:146" ht="18" customHeight="1" x14ac:dyDescent="0.25">
      <c r="B104" s="7"/>
      <c r="AP104" s="9"/>
      <c r="AR104" s="7"/>
      <c r="CF104" s="9"/>
      <c r="DQ104" s="19" t="str">
        <f>BF24</f>
        <v>Voltage at 12.47 kV Secondary Bus:</v>
      </c>
      <c r="DR104" s="98">
        <f>BH25</f>
        <v>0.71051547751521271</v>
      </c>
      <c r="DS104" s="98"/>
      <c r="DT104" s="98"/>
      <c r="DU104" s="98"/>
      <c r="DV104" s="98"/>
      <c r="DW104" s="98"/>
      <c r="DX104" s="98"/>
      <c r="DY104" s="98"/>
      <c r="DZ104" s="53"/>
      <c r="EC104" s="98">
        <f>BS25</f>
        <v>0.91709109627554752</v>
      </c>
      <c r="ED104" s="98"/>
      <c r="EE104" s="98"/>
      <c r="EF104" s="98"/>
      <c r="EG104" s="98"/>
      <c r="EH104" s="98"/>
      <c r="EI104" s="98"/>
      <c r="EK104" s="51"/>
      <c r="EL104" s="52"/>
      <c r="EM104" s="52"/>
      <c r="EN104" s="52"/>
      <c r="EO104" s="52"/>
      <c r="EP104" s="52"/>
    </row>
    <row r="105" spans="2:146" ht="18" customHeight="1" x14ac:dyDescent="0.25">
      <c r="B105" s="7"/>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9"/>
      <c r="AR105" s="7"/>
      <c r="AS105" s="95" t="s">
        <v>190</v>
      </c>
      <c r="AT105" s="95"/>
      <c r="AU105" s="95"/>
      <c r="AV105" s="95"/>
      <c r="AW105" s="95"/>
      <c r="AX105" s="95"/>
      <c r="AY105" s="95"/>
      <c r="AZ105" s="95"/>
      <c r="BA105" s="95"/>
      <c r="BB105" s="95"/>
      <c r="BC105" s="95"/>
      <c r="BD105" s="95"/>
      <c r="BE105" s="95"/>
      <c r="BF105" s="95"/>
      <c r="BG105" s="95"/>
      <c r="BH105" s="95"/>
      <c r="BI105" s="95"/>
      <c r="BJ105" s="95"/>
      <c r="BK105" s="95"/>
      <c r="BL105" s="95"/>
      <c r="BM105" s="95"/>
      <c r="BN105" s="95"/>
      <c r="BO105" s="95"/>
      <c r="BP105" s="95"/>
      <c r="BQ105" s="95"/>
      <c r="BR105" s="95"/>
      <c r="BS105" s="95"/>
      <c r="BT105" s="95"/>
      <c r="BU105" s="95"/>
      <c r="BV105" s="95"/>
      <c r="BW105" s="95"/>
      <c r="BX105" s="95"/>
      <c r="BY105" s="95"/>
      <c r="BZ105" s="95"/>
      <c r="CA105" s="95"/>
      <c r="CB105" s="95"/>
      <c r="CC105" s="95"/>
      <c r="CD105" s="95"/>
      <c r="CE105" s="95"/>
      <c r="CF105" s="9"/>
      <c r="DQ105" s="19" t="str">
        <f>BF28</f>
        <v>Voltage at 4.16 kV Motor Bus:</v>
      </c>
      <c r="DR105" s="98">
        <f>BH29</f>
        <v>0.58825672132519069</v>
      </c>
      <c r="DS105" s="98"/>
      <c r="DT105" s="98"/>
      <c r="DU105" s="98"/>
      <c r="DV105" s="98"/>
      <c r="DW105" s="98"/>
      <c r="DX105" s="98"/>
      <c r="DY105" s="98"/>
      <c r="EC105" s="98">
        <f>BS29</f>
        <v>0.88137504270677991</v>
      </c>
      <c r="ED105" s="98"/>
      <c r="EE105" s="98"/>
      <c r="EF105" s="98"/>
      <c r="EG105" s="98"/>
      <c r="EH105" s="98"/>
      <c r="EI105" s="98"/>
      <c r="EK105" s="52"/>
    </row>
    <row r="106" spans="2:146" ht="18" customHeight="1" x14ac:dyDescent="0.25">
      <c r="B106" s="7"/>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9"/>
      <c r="AR106" s="7"/>
      <c r="AS106" s="95"/>
      <c r="AT106" s="95"/>
      <c r="AU106" s="95"/>
      <c r="AV106" s="95"/>
      <c r="AW106" s="95"/>
      <c r="AX106" s="95"/>
      <c r="AY106" s="95"/>
      <c r="AZ106" s="95"/>
      <c r="BA106" s="95"/>
      <c r="BB106" s="95"/>
      <c r="BC106" s="95"/>
      <c r="BD106" s="95"/>
      <c r="BE106" s="95"/>
      <c r="BF106" s="95"/>
      <c r="BG106" s="95"/>
      <c r="BH106" s="95"/>
      <c r="BI106" s="95"/>
      <c r="BJ106" s="95"/>
      <c r="BK106" s="95"/>
      <c r="BL106" s="95"/>
      <c r="BM106" s="95"/>
      <c r="BN106" s="95"/>
      <c r="BO106" s="95"/>
      <c r="BP106" s="95"/>
      <c r="BQ106" s="95"/>
      <c r="BR106" s="95"/>
      <c r="BS106" s="95"/>
      <c r="BT106" s="95"/>
      <c r="BU106" s="95"/>
      <c r="BV106" s="95"/>
      <c r="BW106" s="95"/>
      <c r="BX106" s="95"/>
      <c r="BY106" s="95"/>
      <c r="BZ106" s="95"/>
      <c r="CA106" s="95"/>
      <c r="CB106" s="95"/>
      <c r="CC106" s="95"/>
      <c r="CD106" s="95"/>
      <c r="CE106" s="95"/>
      <c r="CF106" s="9"/>
      <c r="DQ106" s="19" t="s">
        <v>100</v>
      </c>
      <c r="DR106" s="98">
        <f>BH14</f>
        <v>0.58825672132519069</v>
      </c>
      <c r="DS106" s="98"/>
      <c r="DT106" s="98"/>
      <c r="DU106" s="98"/>
      <c r="DV106" s="98"/>
      <c r="DW106" s="98"/>
      <c r="DX106" s="98"/>
      <c r="DY106" s="98"/>
      <c r="EC106" s="98">
        <f>BS14</f>
        <v>0.91663004441505114</v>
      </c>
      <c r="ED106" s="100"/>
      <c r="EE106" s="100"/>
      <c r="EF106" s="100"/>
      <c r="EG106" s="100"/>
      <c r="EH106" s="100"/>
      <c r="EI106" s="100"/>
    </row>
    <row r="107" spans="2:146" ht="18" customHeight="1" x14ac:dyDescent="0.3">
      <c r="B107" s="7"/>
      <c r="C107" s="28"/>
      <c r="AP107" s="9"/>
      <c r="AR107" s="7"/>
      <c r="AS107" s="28" t="s">
        <v>210</v>
      </c>
      <c r="CF107" s="9"/>
    </row>
    <row r="108" spans="2:146" ht="18" customHeight="1" x14ac:dyDescent="0.25">
      <c r="B108" s="7"/>
      <c r="AP108" s="9"/>
      <c r="AR108" s="7"/>
      <c r="CF108" s="9"/>
    </row>
    <row r="109" spans="2:146" ht="18" customHeight="1" x14ac:dyDescent="0.25">
      <c r="B109" s="7"/>
      <c r="AP109" s="9"/>
      <c r="AR109" s="7"/>
      <c r="CF109" s="9"/>
    </row>
    <row r="110" spans="2:146" ht="18" customHeight="1" x14ac:dyDescent="0.25">
      <c r="B110" s="7"/>
      <c r="AP110" s="9"/>
      <c r="AR110" s="7"/>
      <c r="CF110" s="9"/>
    </row>
    <row r="111" spans="2:146" ht="18" customHeight="1" x14ac:dyDescent="0.25">
      <c r="B111" s="7"/>
      <c r="AP111" s="9"/>
      <c r="AR111" s="7"/>
      <c r="CF111" s="9"/>
    </row>
    <row r="112" spans="2:146" ht="18" customHeight="1" x14ac:dyDescent="0.25">
      <c r="B112" s="7"/>
      <c r="AP112" s="9"/>
      <c r="AR112" s="7"/>
      <c r="CF112" s="9"/>
    </row>
    <row r="113" spans="2:84" ht="18" customHeight="1" x14ac:dyDescent="0.25">
      <c r="B113" s="7"/>
      <c r="AP113" s="9"/>
      <c r="AR113" s="7"/>
      <c r="CF113" s="9"/>
    </row>
    <row r="114" spans="2:84" ht="18" customHeight="1" x14ac:dyDescent="0.25">
      <c r="B114" s="7"/>
      <c r="AP114" s="9"/>
      <c r="AR114" s="7"/>
      <c r="CF114" s="9"/>
    </row>
    <row r="115" spans="2:84" ht="18" customHeight="1" x14ac:dyDescent="0.25">
      <c r="B115" s="7"/>
      <c r="AP115" s="9"/>
      <c r="AR115" s="7"/>
      <c r="CF115" s="9"/>
    </row>
    <row r="116" spans="2:84" ht="18" customHeight="1" x14ac:dyDescent="0.25">
      <c r="B116" s="7"/>
      <c r="AP116" s="9"/>
      <c r="AR116" s="7"/>
      <c r="CF116" s="9"/>
    </row>
    <row r="117" spans="2:84" ht="18" customHeight="1" x14ac:dyDescent="0.25">
      <c r="B117" s="7"/>
      <c r="AP117" s="9"/>
      <c r="AR117" s="7"/>
      <c r="CF117" s="9"/>
    </row>
    <row r="118" spans="2:84" ht="18" customHeight="1" x14ac:dyDescent="0.25">
      <c r="B118" s="7"/>
      <c r="AP118" s="9"/>
      <c r="AR118" s="7"/>
      <c r="CF118" s="9"/>
    </row>
    <row r="119" spans="2:84" ht="18" customHeight="1" x14ac:dyDescent="0.25">
      <c r="B119" s="7"/>
      <c r="AP119" s="9"/>
      <c r="AR119" s="7"/>
      <c r="CF119" s="9"/>
    </row>
    <row r="120" spans="2:84" ht="18" customHeight="1" x14ac:dyDescent="0.25">
      <c r="B120" s="7"/>
      <c r="AP120" s="9"/>
      <c r="AR120" s="7"/>
      <c r="CF120" s="9"/>
    </row>
    <row r="121" spans="2:84" ht="18" customHeight="1" x14ac:dyDescent="0.25">
      <c r="B121" s="7"/>
      <c r="AP121" s="9"/>
      <c r="AR121" s="7"/>
      <c r="CF121" s="9"/>
    </row>
    <row r="122" spans="2:84" ht="18" customHeight="1" x14ac:dyDescent="0.25">
      <c r="B122" s="7"/>
      <c r="AP122" s="9"/>
      <c r="AR122" s="7"/>
      <c r="CF122" s="9"/>
    </row>
    <row r="123" spans="2:84" ht="18" customHeight="1" x14ac:dyDescent="0.25">
      <c r="B123" s="7"/>
      <c r="AP123" s="9"/>
      <c r="AR123" s="7"/>
      <c r="CF123" s="9"/>
    </row>
    <row r="124" spans="2:84" ht="18" customHeight="1" x14ac:dyDescent="0.25">
      <c r="B124" s="7"/>
      <c r="AP124" s="9"/>
      <c r="AR124" s="7"/>
      <c r="CF124" s="9"/>
    </row>
    <row r="125" spans="2:84" ht="18" customHeight="1" x14ac:dyDescent="0.25">
      <c r="B125" s="7"/>
      <c r="AP125" s="9"/>
      <c r="AR125" s="7"/>
      <c r="CF125" s="9"/>
    </row>
    <row r="126" spans="2:84" ht="18" customHeight="1" x14ac:dyDescent="0.25">
      <c r="B126" s="7"/>
      <c r="AP126" s="9"/>
      <c r="AR126" s="7"/>
      <c r="CF126" s="9"/>
    </row>
    <row r="127" spans="2:84" ht="18" customHeight="1" x14ac:dyDescent="0.25">
      <c r="B127" s="7"/>
      <c r="AP127" s="9"/>
      <c r="AR127" s="7"/>
      <c r="CF127" s="9"/>
    </row>
    <row r="128" spans="2:84" ht="18" customHeight="1" x14ac:dyDescent="0.25">
      <c r="B128" s="7"/>
      <c r="AP128" s="9"/>
      <c r="AR128" s="7"/>
      <c r="CF128" s="9"/>
    </row>
    <row r="129" spans="2:84" ht="18" customHeight="1" x14ac:dyDescent="0.25">
      <c r="B129" s="7"/>
      <c r="AP129" s="9"/>
      <c r="AR129" s="7"/>
      <c r="CF129" s="9"/>
    </row>
    <row r="130" spans="2:84" ht="18" customHeight="1" x14ac:dyDescent="0.25">
      <c r="B130" s="7"/>
      <c r="AP130" s="9"/>
      <c r="AR130" s="7"/>
      <c r="CF130" s="9"/>
    </row>
    <row r="131" spans="2:84" ht="18" customHeight="1" x14ac:dyDescent="0.25">
      <c r="B131" s="7"/>
      <c r="AP131" s="9"/>
      <c r="AR131" s="7"/>
      <c r="CF131" s="9"/>
    </row>
    <row r="132" spans="2:84" ht="18" customHeight="1" x14ac:dyDescent="0.25">
      <c r="B132" s="7"/>
      <c r="AP132" s="9"/>
      <c r="AR132" s="7"/>
      <c r="CF132" s="9"/>
    </row>
    <row r="133" spans="2:84" ht="18" customHeight="1" x14ac:dyDescent="0.25">
      <c r="B133" s="7"/>
      <c r="AP133" s="9"/>
      <c r="AR133" s="7"/>
      <c r="CF133" s="9"/>
    </row>
    <row r="134" spans="2:84" ht="18" customHeight="1" x14ac:dyDescent="0.25">
      <c r="B134" s="7"/>
      <c r="AP134" s="9"/>
      <c r="AR134" s="7"/>
      <c r="CF134" s="9"/>
    </row>
    <row r="135" spans="2:84" ht="18" customHeight="1" x14ac:dyDescent="0.25">
      <c r="B135" s="7"/>
      <c r="AP135" s="9"/>
      <c r="AR135" s="7"/>
      <c r="CF135" s="9"/>
    </row>
    <row r="136" spans="2:84" ht="18" customHeight="1" x14ac:dyDescent="0.25">
      <c r="B136" s="7"/>
      <c r="AP136" s="9"/>
      <c r="AR136" s="7"/>
      <c r="CF136" s="9"/>
    </row>
    <row r="137" spans="2:84" ht="18" customHeight="1" x14ac:dyDescent="0.25">
      <c r="B137" s="7"/>
      <c r="AP137" s="9"/>
      <c r="AR137" s="7"/>
      <c r="CF137" s="9"/>
    </row>
    <row r="138" spans="2:84" ht="18" customHeight="1" x14ac:dyDescent="0.25">
      <c r="B138" s="7"/>
      <c r="AP138" s="9"/>
      <c r="AR138" s="7"/>
      <c r="CF138" s="9"/>
    </row>
    <row r="139" spans="2:84" ht="18" customHeight="1" x14ac:dyDescent="0.25">
      <c r="B139" s="7"/>
      <c r="AP139" s="9"/>
      <c r="AR139" s="7"/>
      <c r="CF139" s="9"/>
    </row>
    <row r="140" spans="2:84" ht="18" customHeight="1" x14ac:dyDescent="0.25">
      <c r="B140" s="7"/>
      <c r="AP140" s="9"/>
      <c r="AR140" s="7"/>
      <c r="CF140" s="9"/>
    </row>
    <row r="141" spans="2:84" ht="18" customHeight="1" x14ac:dyDescent="0.25">
      <c r="B141" s="7"/>
      <c r="AP141" s="9"/>
      <c r="AR141" s="7"/>
      <c r="CF141" s="9"/>
    </row>
    <row r="142" spans="2:84" ht="18" customHeight="1" x14ac:dyDescent="0.25">
      <c r="B142" s="7"/>
      <c r="AP142" s="9"/>
      <c r="AR142" s="7"/>
      <c r="CF142" s="9"/>
    </row>
    <row r="143" spans="2:84" ht="18" customHeight="1" x14ac:dyDescent="0.25">
      <c r="B143" s="7"/>
      <c r="AP143" s="9"/>
      <c r="AR143" s="7"/>
      <c r="CF143" s="9"/>
    </row>
    <row r="144" spans="2:84" ht="18" customHeight="1" x14ac:dyDescent="0.25">
      <c r="B144" s="7"/>
      <c r="AP144" s="9"/>
      <c r="AR144" s="7"/>
      <c r="CF144" s="9"/>
    </row>
    <row r="145" spans="2:84" ht="18" customHeight="1" thickBot="1" x14ac:dyDescent="0.3">
      <c r="B145" s="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2"/>
      <c r="AP145" s="9"/>
      <c r="AR145" s="7"/>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2"/>
      <c r="CF145" s="9"/>
    </row>
    <row r="146" spans="2:84" ht="18" customHeight="1" x14ac:dyDescent="0.25">
      <c r="B146" s="7"/>
      <c r="D146" s="43" t="s">
        <v>86</v>
      </c>
      <c r="AO146" s="19" t="s">
        <v>107</v>
      </c>
      <c r="AP146" s="9"/>
      <c r="AR146" s="7"/>
      <c r="AT146" s="43" t="s">
        <v>86</v>
      </c>
      <c r="CE146" s="19" t="s">
        <v>108</v>
      </c>
      <c r="CF146" s="9"/>
    </row>
    <row r="147" spans="2:84" ht="18" customHeight="1" x14ac:dyDescent="0.25">
      <c r="B147" s="44"/>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6"/>
      <c r="AR147" s="44"/>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6"/>
    </row>
    <row r="148" spans="2:84" ht="18" customHeight="1" x14ac:dyDescent="0.25"/>
    <row r="149" spans="2:84" ht="18" customHeight="1" x14ac:dyDescent="0.25">
      <c r="B149" s="4"/>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6"/>
      <c r="AR149" s="4"/>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6"/>
    </row>
    <row r="150" spans="2:84" ht="18" customHeight="1" x14ac:dyDescent="0.25">
      <c r="B150" s="7"/>
      <c r="AN150" s="8"/>
      <c r="AP150" s="9"/>
      <c r="AR150" s="7"/>
      <c r="CD150" s="8"/>
      <c r="CF150" s="9"/>
    </row>
    <row r="151" spans="2:84" ht="18" customHeight="1" x14ac:dyDescent="0.25">
      <c r="B151" s="7"/>
      <c r="AN151" s="10"/>
      <c r="AP151" s="9"/>
      <c r="AR151" s="7"/>
      <c r="CD151" s="10"/>
      <c r="CF151" s="9"/>
    </row>
    <row r="152" spans="2:84" ht="18" customHeight="1" thickBot="1" x14ac:dyDescent="0.3">
      <c r="B152" s="7"/>
      <c r="C152" s="11" t="str">
        <f>C7</f>
        <v>MotorVAR™ - MOTOR START CAPACITOR BANK - SIZING TOOL 
CAPTIVE TRANSFORMER CONFIGURATION</v>
      </c>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2"/>
      <c r="AO152" s="11"/>
      <c r="AP152" s="9"/>
      <c r="AR152" s="7"/>
      <c r="AS152" s="11" t="str">
        <f>C7</f>
        <v>MotorVAR™ - MOTOR START CAPACITOR BANK - SIZING TOOL 
CAPTIVE TRANSFORMER CONFIGURATION</v>
      </c>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2"/>
      <c r="CE152" s="11"/>
      <c r="CF152" s="9"/>
    </row>
    <row r="153" spans="2:84" ht="18" customHeight="1" x14ac:dyDescent="0.25">
      <c r="B153" s="7"/>
      <c r="AP153" s="9"/>
      <c r="AR153" s="7"/>
      <c r="CF153" s="9"/>
    </row>
    <row r="154" spans="2:84" ht="18" customHeight="1" x14ac:dyDescent="0.25">
      <c r="B154" s="7"/>
      <c r="AP154" s="9"/>
      <c r="AR154" s="7"/>
      <c r="CF154" s="9"/>
    </row>
    <row r="155" spans="2:84" ht="18" customHeight="1" x14ac:dyDescent="0.25">
      <c r="B155" s="7"/>
      <c r="AP155" s="9"/>
      <c r="AR155" s="7"/>
      <c r="CF155" s="9"/>
    </row>
    <row r="156" spans="2:84" ht="18" customHeight="1" x14ac:dyDescent="0.25">
      <c r="B156" s="7"/>
      <c r="AP156" s="9"/>
      <c r="AR156" s="7"/>
      <c r="CF156" s="9"/>
    </row>
    <row r="157" spans="2:84" ht="18" customHeight="1" x14ac:dyDescent="0.25">
      <c r="B157" s="7"/>
      <c r="AP157" s="9"/>
      <c r="AR157" s="7"/>
      <c r="CF157" s="9"/>
    </row>
    <row r="158" spans="2:84" ht="18" customHeight="1" x14ac:dyDescent="0.25">
      <c r="B158" s="7"/>
      <c r="AP158" s="9"/>
      <c r="AR158" s="7"/>
      <c r="CF158" s="9"/>
    </row>
    <row r="159" spans="2:84" ht="18" customHeight="1" x14ac:dyDescent="0.25">
      <c r="B159" s="7"/>
      <c r="AP159" s="9"/>
      <c r="AR159" s="7"/>
      <c r="CF159" s="9"/>
    </row>
    <row r="160" spans="2:84" ht="18" customHeight="1" x14ac:dyDescent="0.25">
      <c r="B160" s="7"/>
      <c r="AP160" s="9"/>
      <c r="AR160" s="7"/>
      <c r="CF160" s="9"/>
    </row>
    <row r="161" spans="2:84" ht="18" customHeight="1" x14ac:dyDescent="0.25">
      <c r="B161" s="7"/>
      <c r="AP161" s="9"/>
      <c r="AR161" s="7"/>
      <c r="CF161" s="9"/>
    </row>
    <row r="162" spans="2:84" ht="18" customHeight="1" x14ac:dyDescent="0.25">
      <c r="B162" s="7"/>
      <c r="AP162" s="9"/>
      <c r="AR162" s="7"/>
      <c r="CF162" s="9"/>
    </row>
    <row r="163" spans="2:84" ht="18" customHeight="1" x14ac:dyDescent="0.25">
      <c r="B163" s="7"/>
      <c r="AP163" s="9"/>
      <c r="AR163" s="7"/>
      <c r="CF163" s="9"/>
    </row>
    <row r="164" spans="2:84" ht="18" customHeight="1" x14ac:dyDescent="0.25">
      <c r="B164" s="7"/>
      <c r="AP164" s="9"/>
      <c r="AR164" s="7"/>
      <c r="CF164" s="9"/>
    </row>
    <row r="165" spans="2:84" ht="18" customHeight="1" x14ac:dyDescent="0.25">
      <c r="B165" s="7"/>
      <c r="C165" s="95" t="s">
        <v>217</v>
      </c>
      <c r="D165" s="96"/>
      <c r="E165" s="96"/>
      <c r="F165" s="96"/>
      <c r="G165" s="96"/>
      <c r="H165" s="96"/>
      <c r="I165" s="96"/>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6"/>
      <c r="AM165" s="96"/>
      <c r="AN165" s="96"/>
      <c r="AO165" s="96"/>
      <c r="AP165" s="9"/>
      <c r="AR165" s="7"/>
      <c r="CF165" s="9"/>
    </row>
    <row r="166" spans="2:84" ht="18" customHeight="1" x14ac:dyDescent="0.25">
      <c r="B166" s="7"/>
      <c r="C166" s="97" t="s">
        <v>218</v>
      </c>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
      <c r="AR166" s="7"/>
      <c r="CF166" s="9"/>
    </row>
    <row r="167" spans="2:84" ht="18" customHeight="1" x14ac:dyDescent="0.25">
      <c r="B167" s="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
      <c r="AR167" s="7"/>
      <c r="CF167" s="9"/>
    </row>
    <row r="168" spans="2:84" ht="18" customHeight="1" x14ac:dyDescent="0.25">
      <c r="B168" s="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
      <c r="AR168" s="7"/>
      <c r="CF168" s="9"/>
    </row>
    <row r="169" spans="2:84" ht="18" customHeight="1" x14ac:dyDescent="0.25">
      <c r="B169" s="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
      <c r="AR169" s="7"/>
      <c r="CF169" s="9"/>
    </row>
    <row r="170" spans="2:84" ht="18" customHeight="1" x14ac:dyDescent="0.25">
      <c r="B170" s="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
      <c r="AR170" s="7"/>
      <c r="CF170" s="9"/>
    </row>
    <row r="171" spans="2:84" ht="18" customHeight="1" x14ac:dyDescent="0.25">
      <c r="B171" s="7"/>
      <c r="AP171" s="9"/>
      <c r="AR171" s="7"/>
      <c r="CF171" s="9"/>
    </row>
    <row r="172" spans="2:84" ht="18" customHeight="1" x14ac:dyDescent="0.25">
      <c r="B172" s="7"/>
      <c r="AP172" s="9"/>
      <c r="AR172" s="7"/>
      <c r="CF172" s="9"/>
    </row>
    <row r="173" spans="2:84" ht="18" customHeight="1" x14ac:dyDescent="0.25">
      <c r="B173" s="7"/>
      <c r="AP173" s="9"/>
      <c r="AR173" s="7"/>
      <c r="CF173" s="9"/>
    </row>
    <row r="174" spans="2:84" ht="18" customHeight="1" x14ac:dyDescent="0.25">
      <c r="B174" s="7"/>
      <c r="AP174" s="9"/>
      <c r="AR174" s="7"/>
      <c r="CF174" s="9"/>
    </row>
    <row r="175" spans="2:84" ht="18" customHeight="1" x14ac:dyDescent="0.25">
      <c r="B175" s="7"/>
      <c r="AP175" s="9"/>
      <c r="AR175" s="7"/>
      <c r="CF175" s="9"/>
    </row>
    <row r="176" spans="2:84" ht="18" customHeight="1" x14ac:dyDescent="0.25">
      <c r="B176" s="7"/>
      <c r="AP176" s="9"/>
      <c r="AR176" s="7"/>
      <c r="CF176" s="9"/>
    </row>
    <row r="177" spans="2:84" ht="18" customHeight="1" x14ac:dyDescent="0.25">
      <c r="B177" s="7"/>
      <c r="AP177" s="9"/>
      <c r="AR177" s="7"/>
      <c r="CF177" s="9"/>
    </row>
    <row r="178" spans="2:84" ht="18" customHeight="1" x14ac:dyDescent="0.25">
      <c r="B178" s="7"/>
      <c r="AP178" s="9"/>
      <c r="AR178" s="7"/>
      <c r="CF178" s="9"/>
    </row>
    <row r="179" spans="2:84" ht="18" customHeight="1" x14ac:dyDescent="0.25">
      <c r="B179" s="7"/>
      <c r="AP179" s="9"/>
      <c r="AR179" s="7"/>
      <c r="CF179" s="9"/>
    </row>
    <row r="180" spans="2:84" ht="18" customHeight="1" x14ac:dyDescent="0.25">
      <c r="B180" s="7"/>
      <c r="AP180" s="9"/>
      <c r="AR180" s="7"/>
      <c r="CF180" s="9"/>
    </row>
    <row r="181" spans="2:84" ht="18" customHeight="1" x14ac:dyDescent="0.25">
      <c r="B181" s="7"/>
      <c r="AP181" s="9"/>
      <c r="AR181" s="7"/>
      <c r="CF181" s="9"/>
    </row>
    <row r="182" spans="2:84" ht="18" customHeight="1" x14ac:dyDescent="0.25">
      <c r="B182" s="7"/>
      <c r="AP182" s="9"/>
      <c r="AR182" s="7"/>
      <c r="CF182" s="9"/>
    </row>
    <row r="183" spans="2:84" ht="18" customHeight="1" x14ac:dyDescent="0.25">
      <c r="B183" s="7"/>
      <c r="AP183" s="9"/>
      <c r="AR183" s="7"/>
      <c r="CF183" s="9"/>
    </row>
    <row r="184" spans="2:84" ht="18" customHeight="1" x14ac:dyDescent="0.25">
      <c r="B184" s="7"/>
      <c r="AP184" s="9"/>
      <c r="AR184" s="7"/>
      <c r="CF184" s="9"/>
    </row>
    <row r="185" spans="2:84" ht="18" customHeight="1" x14ac:dyDescent="0.25">
      <c r="B185" s="7"/>
      <c r="AP185" s="9"/>
      <c r="AR185" s="7"/>
      <c r="CF185" s="9"/>
    </row>
    <row r="186" spans="2:84" ht="18" customHeight="1" x14ac:dyDescent="0.25">
      <c r="B186" s="7"/>
      <c r="AP186" s="9"/>
      <c r="AR186" s="7"/>
      <c r="CF186" s="9"/>
    </row>
    <row r="187" spans="2:84" ht="18" customHeight="1" x14ac:dyDescent="0.25">
      <c r="B187" s="7"/>
      <c r="AP187" s="9"/>
      <c r="AR187" s="7"/>
      <c r="CF187" s="9"/>
    </row>
    <row r="188" spans="2:84" ht="18" customHeight="1" x14ac:dyDescent="0.25">
      <c r="B188" s="7"/>
      <c r="AP188" s="9"/>
      <c r="AR188" s="7"/>
      <c r="CF188" s="9"/>
    </row>
    <row r="189" spans="2:84" ht="18" customHeight="1" x14ac:dyDescent="0.25">
      <c r="B189" s="7"/>
      <c r="AP189" s="9"/>
      <c r="AR189" s="7"/>
      <c r="CF189" s="9"/>
    </row>
    <row r="190" spans="2:84" ht="18" customHeight="1" x14ac:dyDescent="0.25">
      <c r="B190" s="7"/>
      <c r="AP190" s="9"/>
      <c r="AR190" s="7"/>
      <c r="CF190" s="9"/>
    </row>
    <row r="191" spans="2:84" ht="18" customHeight="1" x14ac:dyDescent="0.25">
      <c r="B191" s="7"/>
      <c r="AP191" s="9"/>
      <c r="AR191" s="7"/>
      <c r="CF191" s="9"/>
    </row>
    <row r="192" spans="2:84" ht="18" customHeight="1" x14ac:dyDescent="0.25">
      <c r="B192" s="7"/>
      <c r="AP192" s="9"/>
      <c r="AR192" s="7"/>
      <c r="CF192" s="9"/>
    </row>
    <row r="193" spans="2:131" ht="18" customHeight="1" x14ac:dyDescent="0.25">
      <c r="B193" s="7"/>
      <c r="AP193" s="9"/>
      <c r="AR193" s="7"/>
      <c r="CF193" s="9"/>
    </row>
    <row r="194" spans="2:131" ht="18" customHeight="1" thickBot="1" x14ac:dyDescent="0.3">
      <c r="B194" s="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2"/>
      <c r="AO194" s="11"/>
      <c r="AP194" s="9"/>
      <c r="AR194" s="7"/>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2"/>
      <c r="CE194" s="11"/>
      <c r="CF194" s="9"/>
    </row>
    <row r="195" spans="2:131" ht="18" customHeight="1" x14ac:dyDescent="0.25">
      <c r="B195" s="7"/>
      <c r="D195" s="43" t="s">
        <v>86</v>
      </c>
      <c r="AO195" s="19" t="s">
        <v>109</v>
      </c>
      <c r="AP195" s="9"/>
      <c r="AR195" s="7"/>
      <c r="AT195" s="43" t="s">
        <v>86</v>
      </c>
      <c r="CE195" s="19" t="s">
        <v>110</v>
      </c>
      <c r="CF195" s="9"/>
    </row>
    <row r="196" spans="2:131" ht="18" customHeight="1" x14ac:dyDescent="0.25">
      <c r="B196" s="44"/>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6"/>
      <c r="AR196" s="44"/>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6"/>
      <c r="DX196" s="35"/>
      <c r="DY196" s="36"/>
      <c r="DZ196" s="36"/>
      <c r="EA196" s="37"/>
    </row>
    <row r="197" spans="2:131" ht="18" customHeight="1" x14ac:dyDescent="0.25">
      <c r="DX197" s="35"/>
      <c r="DY197" s="36"/>
      <c r="DZ197" s="36"/>
      <c r="EA197" s="37"/>
    </row>
    <row r="198" spans="2:131" ht="18" customHeight="1" x14ac:dyDescent="0.25"/>
    <row r="305" ht="18.75" customHeight="1" x14ac:dyDescent="0.25"/>
  </sheetData>
  <sheetProtection algorithmName="SHA-512" hashValue="v1sXqJYD/kE1OYZy1QUHDWTqfQnQD4tyGUqgFmZq0tHNbqJ74rw0voq1n/AMyupkxtZvzXJEGDNwzVVmhA6Mww==" saltValue="7iIu2H4C/EYv70OrEcjbsQ==" spinCount="100000" sheet="1" objects="1" scenarios="1"/>
  <mergeCells count="199">
    <mergeCell ref="DM85:DY85"/>
    <mergeCell ref="DM86:DP86"/>
    <mergeCell ref="DM87:DP87"/>
    <mergeCell ref="DM90:DP90"/>
    <mergeCell ref="DM91:DP91"/>
    <mergeCell ref="DR99:DZ99"/>
    <mergeCell ref="DR106:DY106"/>
    <mergeCell ref="EC106:EI106"/>
    <mergeCell ref="DR103:DY103"/>
    <mergeCell ref="EC103:EI103"/>
    <mergeCell ref="DR104:DY104"/>
    <mergeCell ref="EC104:EI104"/>
    <mergeCell ref="DR105:DY105"/>
    <mergeCell ref="EC105:EI105"/>
    <mergeCell ref="DR100:DY100"/>
    <mergeCell ref="EC100:EI100"/>
    <mergeCell ref="DR101:DY101"/>
    <mergeCell ref="EC101:EI101"/>
    <mergeCell ref="DR102:DY102"/>
    <mergeCell ref="EC102:EI102"/>
    <mergeCell ref="CI80:DK80"/>
    <mergeCell ref="DN80:DQ80"/>
    <mergeCell ref="DS80:DV80"/>
    <mergeCell ref="CI82:DL82"/>
    <mergeCell ref="DJ83:DM83"/>
    <mergeCell ref="DO83:DQ83"/>
    <mergeCell ref="CJ73:DD73"/>
    <mergeCell ref="CJ74:DD74"/>
    <mergeCell ref="CI75:DK75"/>
    <mergeCell ref="CI77:DK77"/>
    <mergeCell ref="DJ78:DM78"/>
    <mergeCell ref="DO78:DQ78"/>
    <mergeCell ref="P44:R44"/>
    <mergeCell ref="AS44:CD46"/>
    <mergeCell ref="P45:R45"/>
    <mergeCell ref="P46:R46"/>
    <mergeCell ref="AF44:AK44"/>
    <mergeCell ref="CJ58:DC58"/>
    <mergeCell ref="CI59:DK59"/>
    <mergeCell ref="HL60:HY60"/>
    <mergeCell ref="HZ60:IC60"/>
    <mergeCell ref="CJ57:DC57"/>
    <mergeCell ref="DJ57:DM57"/>
    <mergeCell ref="DO57:DQ57"/>
    <mergeCell ref="P40:R40"/>
    <mergeCell ref="AS40:CD42"/>
    <mergeCell ref="P41:R41"/>
    <mergeCell ref="P42:R42"/>
    <mergeCell ref="P38:R38"/>
    <mergeCell ref="AS38:BR38"/>
    <mergeCell ref="BS38:CA38"/>
    <mergeCell ref="P39:R39"/>
    <mergeCell ref="C43:T43"/>
    <mergeCell ref="P36:R36"/>
    <mergeCell ref="P37:R37"/>
    <mergeCell ref="AS37:BR37"/>
    <mergeCell ref="BS37:CA37"/>
    <mergeCell ref="P34:R34"/>
    <mergeCell ref="BH34:BQ34"/>
    <mergeCell ref="BS34:CA34"/>
    <mergeCell ref="C35:T35"/>
    <mergeCell ref="BH35:BQ35"/>
    <mergeCell ref="BS35:CA35"/>
    <mergeCell ref="P31:R31"/>
    <mergeCell ref="P32:R32"/>
    <mergeCell ref="BH32:BQ32"/>
    <mergeCell ref="BS32:CA32"/>
    <mergeCell ref="P33:R33"/>
    <mergeCell ref="BH33:BQ33"/>
    <mergeCell ref="BS33:CA33"/>
    <mergeCell ref="P29:R29"/>
    <mergeCell ref="BH29:BQ29"/>
    <mergeCell ref="BS29:CA29"/>
    <mergeCell ref="C30:T30"/>
    <mergeCell ref="BH30:BQ30"/>
    <mergeCell ref="BS30:CA30"/>
    <mergeCell ref="P27:R27"/>
    <mergeCell ref="EG27:EJ27"/>
    <mergeCell ref="P28:R28"/>
    <mergeCell ref="BH28:BQ28"/>
    <mergeCell ref="BS28:CA28"/>
    <mergeCell ref="EG28:EJ28"/>
    <mergeCell ref="C25:T25"/>
    <mergeCell ref="BH25:BQ25"/>
    <mergeCell ref="BS25:CA25"/>
    <mergeCell ref="CZ25:DC25"/>
    <mergeCell ref="EG25:FA25"/>
    <mergeCell ref="P26:R26"/>
    <mergeCell ref="BH26:BQ26"/>
    <mergeCell ref="BS26:CA26"/>
    <mergeCell ref="EG26:EJ26"/>
    <mergeCell ref="EL26:EN26"/>
    <mergeCell ref="P23:R23"/>
    <mergeCell ref="CZ23:DC23"/>
    <mergeCell ref="DE23:DG23"/>
    <mergeCell ref="EG23:EJ23"/>
    <mergeCell ref="P24:R24"/>
    <mergeCell ref="BH24:BQ24"/>
    <mergeCell ref="BS24:CA24"/>
    <mergeCell ref="CZ24:DC24"/>
    <mergeCell ref="EG24:EJ24"/>
    <mergeCell ref="EL21:EN21"/>
    <mergeCell ref="P22:R22"/>
    <mergeCell ref="BH22:BQ22"/>
    <mergeCell ref="BS22:CA22"/>
    <mergeCell ref="CZ22:DT22"/>
    <mergeCell ref="EG22:EJ22"/>
    <mergeCell ref="C21:T21"/>
    <mergeCell ref="W21:AO21"/>
    <mergeCell ref="BH21:BQ21"/>
    <mergeCell ref="BS21:CA21"/>
    <mergeCell ref="CZ21:DC21"/>
    <mergeCell ref="EG21:EJ21"/>
    <mergeCell ref="AS19:BF19"/>
    <mergeCell ref="CZ19:DC19"/>
    <mergeCell ref="EG19:EJ19"/>
    <mergeCell ref="BH20:BQ20"/>
    <mergeCell ref="BS20:CA20"/>
    <mergeCell ref="CZ20:DC20"/>
    <mergeCell ref="EG20:FA20"/>
    <mergeCell ref="CZ17:DT17"/>
    <mergeCell ref="EG17:EJ17"/>
    <mergeCell ref="BH18:BQ19"/>
    <mergeCell ref="BS18:CA19"/>
    <mergeCell ref="CZ18:DC18"/>
    <mergeCell ref="DE18:DG18"/>
    <mergeCell ref="EG18:EJ18"/>
    <mergeCell ref="CZ7:DS7"/>
    <mergeCell ref="EG7:EZ7"/>
    <mergeCell ref="CZ8:DC8"/>
    <mergeCell ref="DE8:DG8"/>
    <mergeCell ref="EG8:EJ8"/>
    <mergeCell ref="EL8:EN8"/>
    <mergeCell ref="BH9:BQ10"/>
    <mergeCell ref="C165:AO165"/>
    <mergeCell ref="BH15:BQ15"/>
    <mergeCell ref="BS15:CA15"/>
    <mergeCell ref="CZ15:DC15"/>
    <mergeCell ref="EG15:EJ15"/>
    <mergeCell ref="EL15:EN15"/>
    <mergeCell ref="H12:W12"/>
    <mergeCell ref="AE12:AN12"/>
    <mergeCell ref="BH12:BQ12"/>
    <mergeCell ref="BS12:CA12"/>
    <mergeCell ref="CZ12:DC12"/>
    <mergeCell ref="BS14:CA14"/>
    <mergeCell ref="BS13:CA13"/>
    <mergeCell ref="BH14:BQ14"/>
    <mergeCell ref="BH13:BQ13"/>
    <mergeCell ref="CZ14:DC14"/>
    <mergeCell ref="EG14:EZ14"/>
    <mergeCell ref="C166:AO170"/>
    <mergeCell ref="AS105:CE106"/>
    <mergeCell ref="CH6:DS6"/>
    <mergeCell ref="DU6:EK6"/>
    <mergeCell ref="EL11:EO11"/>
    <mergeCell ref="DE12:DG12"/>
    <mergeCell ref="EG12:EJ12"/>
    <mergeCell ref="H11:W11"/>
    <mergeCell ref="AE11:AN11"/>
    <mergeCell ref="BH11:BQ11"/>
    <mergeCell ref="BS11:CA11"/>
    <mergeCell ref="CZ11:DS11"/>
    <mergeCell ref="EG11:EJ11"/>
    <mergeCell ref="BS9:CA10"/>
    <mergeCell ref="CZ9:DC9"/>
    <mergeCell ref="EG9:EJ9"/>
    <mergeCell ref="AS10:BF10"/>
    <mergeCell ref="CZ10:DC10"/>
    <mergeCell ref="EG10:EZ10"/>
    <mergeCell ref="CZ16:DC16"/>
    <mergeCell ref="EG16:EJ16"/>
    <mergeCell ref="CZ13:DC13"/>
    <mergeCell ref="EG13:EJ13"/>
    <mergeCell ref="C7:AO8"/>
    <mergeCell ref="BA93:BH93"/>
    <mergeCell ref="BA94:BH94"/>
    <mergeCell ref="BO83:BT83"/>
    <mergeCell ref="BO84:BT84"/>
    <mergeCell ref="BO85:BT85"/>
    <mergeCell ref="EC30:EH30"/>
    <mergeCell ref="CC87:CE87"/>
    <mergeCell ref="CC88:CE88"/>
    <mergeCell ref="BO56:CC56"/>
    <mergeCell ref="CJ61:DC61"/>
    <mergeCell ref="DJ61:DM61"/>
    <mergeCell ref="DO61:DQ61"/>
    <mergeCell ref="CI67:DK67"/>
    <mergeCell ref="CJ69:DC69"/>
    <mergeCell ref="DJ69:DM69"/>
    <mergeCell ref="DO69:DQ69"/>
    <mergeCell ref="CJ70:DC70"/>
    <mergeCell ref="CI71:DK71"/>
    <mergeCell ref="CJ62:DC62"/>
    <mergeCell ref="CI63:DK63"/>
    <mergeCell ref="CJ65:DC65"/>
    <mergeCell ref="DJ65:DM65"/>
    <mergeCell ref="DO65:DQ65"/>
    <mergeCell ref="CJ66:DC66"/>
  </mergeCells>
  <dataValidations disablePrompts="1" count="1">
    <dataValidation allowBlank="1" showErrorMessage="1" sqref="S17:U17" xr:uid="{D6875F0A-08E9-40C4-B696-DAF181587A13}"/>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42773-EE50-46A2-9B80-FB0F5CE81DDD}">
  <sheetPr>
    <pageSetUpPr fitToPage="1"/>
  </sheetPr>
  <dimension ref="B1:IC305"/>
  <sheetViews>
    <sheetView zoomScaleNormal="100" workbookViewId="0">
      <selection activeCell="CG1" sqref="CG1:HY1048576"/>
    </sheetView>
  </sheetViews>
  <sheetFormatPr defaultRowHeight="15" x14ac:dyDescent="0.25"/>
  <cols>
    <col min="1" max="84" width="2.7109375" style="1" customWidth="1"/>
    <col min="85" max="128" width="2.7109375" style="1" hidden="1" customWidth="1"/>
    <col min="129" max="131" width="2.7109375" style="2" hidden="1" customWidth="1"/>
    <col min="132" max="133" width="2.7109375" style="1" hidden="1" customWidth="1"/>
    <col min="134" max="148" width="2.7109375" style="3" hidden="1" customWidth="1"/>
    <col min="149" max="233" width="2.7109375" style="1" hidden="1" customWidth="1"/>
    <col min="234" max="249" width="2.7109375" style="1" customWidth="1"/>
    <col min="250" max="250" width="9.140625" style="1" customWidth="1"/>
    <col min="251" max="16384" width="9.140625" style="1"/>
  </cols>
  <sheetData>
    <row r="1" spans="2:209" ht="18" customHeight="1" x14ac:dyDescent="0.25"/>
    <row r="2" spans="2:209"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209" ht="18" customHeight="1" x14ac:dyDescent="0.25">
      <c r="B3" s="7"/>
      <c r="AO3" s="8" t="s">
        <v>0</v>
      </c>
      <c r="AP3" s="9"/>
      <c r="AR3" s="7"/>
      <c r="CF3" s="9"/>
    </row>
    <row r="4" spans="2:209" ht="18" customHeight="1" x14ac:dyDescent="0.25">
      <c r="B4" s="7"/>
      <c r="AO4" s="10" t="s">
        <v>1</v>
      </c>
      <c r="AP4" s="9"/>
      <c r="AR4" s="7"/>
      <c r="CF4" s="9"/>
    </row>
    <row r="5" spans="2:209" ht="18" customHeight="1" thickBot="1" x14ac:dyDescent="0.3">
      <c r="B5" s="7"/>
      <c r="AO5" s="10" t="s">
        <v>2</v>
      </c>
      <c r="AP5" s="9"/>
      <c r="AR5" s="7"/>
      <c r="AS5" s="11" t="str">
        <f>C7</f>
        <v>MotorVAR™ - MOTOR START CAPACITOR BANK - SIZING TOOL 
MotorVAR + LINE REACTOR CONFIGURATION</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row>
    <row r="6" spans="2:209"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CH6" s="101" t="s">
        <v>4</v>
      </c>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EF6" s="152" t="s">
        <v>194</v>
      </c>
      <c r="EG6" s="152"/>
      <c r="EH6" s="152"/>
      <c r="EI6" s="152"/>
      <c r="EJ6" s="152"/>
      <c r="EK6" s="152"/>
      <c r="EL6" s="152"/>
      <c r="EM6" s="152"/>
      <c r="EN6" s="152"/>
      <c r="EO6" s="152"/>
      <c r="EP6" s="152"/>
      <c r="EQ6" s="152"/>
      <c r="ER6" s="152"/>
      <c r="ES6" s="152"/>
      <c r="ET6" s="152"/>
      <c r="EU6" s="152"/>
      <c r="EV6" s="152"/>
      <c r="FP6" s="152" t="s">
        <v>195</v>
      </c>
      <c r="FQ6" s="152"/>
      <c r="FR6" s="152"/>
      <c r="FS6" s="152"/>
      <c r="FT6" s="152"/>
      <c r="FU6" s="152"/>
      <c r="FV6" s="152"/>
      <c r="FW6" s="152"/>
      <c r="FX6" s="152"/>
      <c r="FY6" s="152"/>
      <c r="FZ6" s="152"/>
      <c r="GA6" s="152"/>
      <c r="GB6" s="152"/>
      <c r="GC6" s="152"/>
      <c r="GD6" s="152"/>
      <c r="GE6" s="152"/>
      <c r="GF6" s="152"/>
    </row>
    <row r="7" spans="2:209" ht="18" customHeight="1" x14ac:dyDescent="0.25">
      <c r="B7" s="7"/>
      <c r="C7" s="153" t="s">
        <v>235</v>
      </c>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9"/>
      <c r="AR7" s="7"/>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9"/>
      <c r="DE7" s="15"/>
      <c r="DF7" s="15"/>
      <c r="DG7" s="15"/>
      <c r="DH7" s="15"/>
      <c r="DI7" s="16" t="s">
        <v>6</v>
      </c>
      <c r="DJ7" s="118" t="str">
        <f>IMDIV(P29*1000/1.73,IMSUM(CI28,CI32,CI36))</f>
        <v>190.725597987928-1083.15358328966i</v>
      </c>
      <c r="DK7" s="118"/>
      <c r="DL7" s="118"/>
      <c r="DM7" s="118"/>
      <c r="DN7" s="118"/>
      <c r="DO7" s="118"/>
      <c r="DP7" s="118"/>
      <c r="DQ7" s="118"/>
      <c r="DR7" s="118"/>
      <c r="DS7" s="118"/>
      <c r="DT7" s="118"/>
      <c r="DU7" s="118"/>
      <c r="DV7" s="118"/>
      <c r="DW7" s="118"/>
      <c r="DX7" s="118"/>
      <c r="DY7" s="118"/>
      <c r="DZ7" s="118"/>
      <c r="EA7" s="118"/>
      <c r="EB7" s="118"/>
      <c r="EC7" s="118"/>
      <c r="EH7" s="17"/>
      <c r="EI7" s="17"/>
      <c r="EJ7" s="17"/>
      <c r="EK7" s="17"/>
      <c r="EL7" s="17"/>
      <c r="EM7" s="17"/>
      <c r="EN7" s="17"/>
      <c r="EO7" s="17"/>
      <c r="EP7" s="17"/>
      <c r="EQ7" s="16" t="s">
        <v>7</v>
      </c>
      <c r="ER7" s="118" t="str">
        <f>IMDIV(P29*1000/1.73,CI52)</f>
        <v>172.267801931318-95.2265395005787i</v>
      </c>
      <c r="ES7" s="118"/>
      <c r="ET7" s="118"/>
      <c r="EU7" s="118"/>
      <c r="EV7" s="118"/>
      <c r="EW7" s="118"/>
      <c r="EX7" s="118"/>
      <c r="EY7" s="118"/>
      <c r="EZ7" s="118"/>
      <c r="FA7" s="118"/>
      <c r="FB7" s="118"/>
      <c r="FC7" s="118"/>
      <c r="FD7" s="118"/>
      <c r="FE7" s="118"/>
      <c r="FF7" s="118"/>
      <c r="FG7" s="118"/>
      <c r="FH7" s="118"/>
      <c r="FI7" s="118"/>
      <c r="FJ7" s="118"/>
      <c r="FK7" s="118"/>
      <c r="FL7" s="3"/>
      <c r="FP7" s="3"/>
      <c r="FQ7" s="3"/>
      <c r="FR7" s="17"/>
      <c r="FS7" s="17"/>
      <c r="FT7" s="17"/>
      <c r="FU7" s="17"/>
      <c r="FV7" s="17"/>
      <c r="FW7" s="17"/>
      <c r="FX7" s="17"/>
      <c r="FY7" s="17"/>
      <c r="FZ7" s="17"/>
      <c r="GA7" s="16" t="s">
        <v>7</v>
      </c>
      <c r="GB7" s="118" t="str">
        <f>IMDIV(P29*1000/1.73,ES52)</f>
        <v>253.459665663731-488.052841389053i</v>
      </c>
      <c r="GC7" s="118"/>
      <c r="GD7" s="118"/>
      <c r="GE7" s="118"/>
      <c r="GF7" s="118"/>
      <c r="GG7" s="118"/>
      <c r="GH7" s="118"/>
      <c r="GI7" s="118"/>
      <c r="GJ7" s="118"/>
      <c r="GK7" s="118"/>
      <c r="GL7" s="118"/>
      <c r="GM7" s="118"/>
      <c r="GN7" s="118"/>
      <c r="GO7" s="118"/>
      <c r="GP7" s="118"/>
      <c r="GQ7" s="118"/>
      <c r="GR7" s="118"/>
      <c r="GS7" s="118"/>
      <c r="GT7" s="118"/>
      <c r="GU7" s="118"/>
      <c r="GV7" s="3"/>
    </row>
    <row r="8" spans="2:209" ht="18" customHeight="1" x14ac:dyDescent="0.25">
      <c r="B8" s="7"/>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9"/>
      <c r="AR8" s="7"/>
      <c r="AS8" s="18" t="s">
        <v>8</v>
      </c>
      <c r="BT8" s="14"/>
      <c r="BU8" s="14"/>
      <c r="BV8" s="14"/>
      <c r="BW8" s="14"/>
      <c r="BY8" s="14"/>
      <c r="BZ8" s="14"/>
      <c r="CA8" s="14"/>
      <c r="CB8" s="14"/>
      <c r="CC8" s="14"/>
      <c r="CD8" s="14"/>
      <c r="CE8" s="14"/>
      <c r="CF8" s="9"/>
      <c r="DI8" s="19" t="s">
        <v>6</v>
      </c>
      <c r="DJ8" s="113">
        <f>IMABS(DJ7)</f>
        <v>1099.8172296891348</v>
      </c>
      <c r="DK8" s="113"/>
      <c r="DL8" s="113"/>
      <c r="DM8" s="113"/>
      <c r="DN8" s="3" t="s">
        <v>9</v>
      </c>
      <c r="DO8" s="93">
        <f>DEGREES(IMARGUMENT(DJ7))</f>
        <v>-80.013523961325149</v>
      </c>
      <c r="DP8" s="93"/>
      <c r="DQ8" s="93"/>
      <c r="DR8" s="1" t="s">
        <v>10</v>
      </c>
      <c r="DT8" s="3"/>
      <c r="DU8" s="3"/>
      <c r="DV8" s="3"/>
      <c r="DW8" s="3"/>
      <c r="DX8" s="3"/>
      <c r="DY8" s="3"/>
      <c r="DZ8" s="3"/>
      <c r="EA8" s="3"/>
      <c r="EB8" s="3"/>
      <c r="EC8" s="3"/>
      <c r="EQ8" s="19" t="s">
        <v>7</v>
      </c>
      <c r="ER8" s="114">
        <f>IMABS(ER7)</f>
        <v>196.83569139641082</v>
      </c>
      <c r="ES8" s="114"/>
      <c r="ET8" s="114"/>
      <c r="EU8" s="114"/>
      <c r="EV8" s="3" t="s">
        <v>9</v>
      </c>
      <c r="EW8" s="93">
        <f>DEGREES(IMARGUMENT(ER7))</f>
        <v>-28.933027441340204</v>
      </c>
      <c r="EX8" s="93"/>
      <c r="EY8" s="93"/>
      <c r="EZ8" s="1" t="s">
        <v>10</v>
      </c>
      <c r="FB8" s="3"/>
      <c r="FC8" s="3"/>
      <c r="FD8" s="3"/>
      <c r="FE8" s="3"/>
      <c r="FF8" s="3"/>
      <c r="FG8" s="3"/>
      <c r="FH8" s="3"/>
      <c r="FI8" s="3"/>
      <c r="FJ8" s="3"/>
      <c r="FK8" s="3"/>
      <c r="FL8" s="3"/>
      <c r="FP8" s="3"/>
      <c r="FQ8" s="3"/>
      <c r="FR8" s="3"/>
      <c r="FS8" s="3"/>
      <c r="FT8" s="3"/>
      <c r="FU8" s="3"/>
      <c r="FV8" s="3"/>
      <c r="FW8" s="3"/>
      <c r="FX8" s="3"/>
      <c r="FY8" s="3"/>
      <c r="FZ8" s="3"/>
      <c r="GA8" s="19" t="s">
        <v>7</v>
      </c>
      <c r="GB8" s="114">
        <f>IMABS(GB7)</f>
        <v>549.94306805913868</v>
      </c>
      <c r="GC8" s="114"/>
      <c r="GD8" s="114"/>
      <c r="GE8" s="114"/>
      <c r="GF8" s="3" t="s">
        <v>9</v>
      </c>
      <c r="GG8" s="93">
        <f>DEGREES(IMARGUMENT(GB7))</f>
        <v>-62.555869539539209</v>
      </c>
      <c r="GH8" s="93"/>
      <c r="GI8" s="93"/>
      <c r="GJ8" s="1" t="s">
        <v>10</v>
      </c>
      <c r="GL8" s="3"/>
      <c r="GM8" s="3"/>
      <c r="GN8" s="3"/>
      <c r="GO8" s="3"/>
      <c r="GP8" s="3"/>
      <c r="GQ8" s="3"/>
      <c r="GR8" s="3"/>
      <c r="GS8" s="3"/>
      <c r="GT8" s="3"/>
      <c r="GU8" s="3"/>
      <c r="GV8" s="3"/>
    </row>
    <row r="9" spans="2:209" ht="18" customHeight="1" x14ac:dyDescent="0.25">
      <c r="B9" s="7"/>
      <c r="C9" s="18" t="s">
        <v>11</v>
      </c>
      <c r="D9" s="20"/>
      <c r="E9" s="21"/>
      <c r="F9" s="21"/>
      <c r="G9" s="21"/>
      <c r="H9" s="21"/>
      <c r="I9" s="22"/>
      <c r="J9" s="23"/>
      <c r="K9" s="23"/>
      <c r="L9" s="23"/>
      <c r="M9" s="23"/>
      <c r="N9" s="23"/>
      <c r="O9" s="23"/>
      <c r="P9" s="23"/>
      <c r="Q9" s="23"/>
      <c r="R9" s="23"/>
      <c r="S9" s="23"/>
      <c r="T9" s="23"/>
      <c r="U9" s="23"/>
      <c r="V9" s="23"/>
      <c r="W9" s="23"/>
      <c r="X9" s="23"/>
      <c r="Y9" s="23"/>
      <c r="Z9" s="23"/>
      <c r="AA9" s="23"/>
      <c r="AB9" s="23"/>
      <c r="AC9" s="23" t="s">
        <v>12</v>
      </c>
      <c r="AD9" s="23"/>
      <c r="AE9" s="23"/>
      <c r="AG9" s="24"/>
      <c r="AH9" s="24"/>
      <c r="AI9" s="24"/>
      <c r="AJ9" s="24"/>
      <c r="AK9" s="24"/>
      <c r="AL9" s="24"/>
      <c r="AM9" s="24"/>
      <c r="AN9" s="25" t="str">
        <f ca="1">"" &amp; TEXT(TODAY(), "mmmm d, yyyy")</f>
        <v>April 13, 2026</v>
      </c>
      <c r="AO9" s="24"/>
      <c r="AP9" s="9"/>
      <c r="AR9" s="7"/>
      <c r="BH9" s="144" t="s">
        <v>124</v>
      </c>
      <c r="BI9" s="144"/>
      <c r="BJ9" s="144"/>
      <c r="BK9" s="144"/>
      <c r="BL9" s="144"/>
      <c r="BM9" s="144"/>
      <c r="BN9" s="144"/>
      <c r="BO9" s="58"/>
      <c r="BP9" s="146" t="s">
        <v>203</v>
      </c>
      <c r="BQ9" s="146"/>
      <c r="BR9" s="146"/>
      <c r="BS9" s="146"/>
      <c r="BT9" s="146"/>
      <c r="BU9" s="146"/>
      <c r="BV9" s="146"/>
      <c r="BW9" s="14"/>
      <c r="BX9" s="148" t="s">
        <v>204</v>
      </c>
      <c r="BY9" s="148"/>
      <c r="BZ9" s="148"/>
      <c r="CA9" s="148"/>
      <c r="CB9" s="148"/>
      <c r="CC9" s="148"/>
      <c r="CD9" s="148"/>
      <c r="CE9" s="148"/>
      <c r="CF9" s="9"/>
      <c r="DI9" s="19" t="s">
        <v>15</v>
      </c>
      <c r="DJ9" s="111">
        <f>DJ8/P38</f>
        <v>3.1253686549847539</v>
      </c>
      <c r="DK9" s="111"/>
      <c r="DL9" s="111"/>
      <c r="DM9" s="111"/>
      <c r="EQ9" s="19" t="s">
        <v>16</v>
      </c>
      <c r="ER9" s="111">
        <f>ER8/P38</f>
        <v>0.55935121169767221</v>
      </c>
      <c r="ES9" s="111"/>
      <c r="ET9" s="111"/>
      <c r="EU9" s="111"/>
      <c r="FP9" s="3"/>
      <c r="FQ9" s="3"/>
      <c r="FR9" s="3"/>
      <c r="FS9" s="3"/>
      <c r="FT9" s="3"/>
      <c r="FU9" s="3"/>
      <c r="FV9" s="3"/>
      <c r="FW9" s="3"/>
      <c r="FX9" s="3"/>
      <c r="FY9" s="3"/>
      <c r="FZ9" s="3"/>
      <c r="GA9" s="19" t="s">
        <v>16</v>
      </c>
      <c r="GB9" s="111">
        <f>GB8/P38</f>
        <v>1.5627822337571433</v>
      </c>
      <c r="GC9" s="111"/>
      <c r="GD9" s="111"/>
      <c r="GE9" s="111"/>
    </row>
    <row r="10" spans="2:209" ht="18" customHeight="1" x14ac:dyDescent="0.25">
      <c r="B10" s="7"/>
      <c r="AP10" s="9"/>
      <c r="AR10" s="7"/>
      <c r="AS10" s="155" t="s">
        <v>17</v>
      </c>
      <c r="AT10" s="155"/>
      <c r="AU10" s="155"/>
      <c r="AV10" s="155"/>
      <c r="AW10" s="155"/>
      <c r="AX10" s="155"/>
      <c r="AY10" s="155"/>
      <c r="AZ10" s="155"/>
      <c r="BA10" s="155"/>
      <c r="BB10" s="155"/>
      <c r="BC10" s="155"/>
      <c r="BD10" s="155"/>
      <c r="BE10" s="155"/>
      <c r="BF10" s="155"/>
      <c r="BH10" s="145"/>
      <c r="BI10" s="145"/>
      <c r="BJ10" s="145"/>
      <c r="BK10" s="145"/>
      <c r="BL10" s="145"/>
      <c r="BM10" s="145"/>
      <c r="BN10" s="145"/>
      <c r="BO10" s="32"/>
      <c r="BP10" s="147"/>
      <c r="BQ10" s="147"/>
      <c r="BR10" s="147"/>
      <c r="BS10" s="147"/>
      <c r="BT10" s="147"/>
      <c r="BU10" s="147"/>
      <c r="BV10" s="147"/>
      <c r="BX10" s="149"/>
      <c r="BY10" s="149"/>
      <c r="BZ10" s="149"/>
      <c r="CA10" s="149"/>
      <c r="CB10" s="149"/>
      <c r="CC10" s="149"/>
      <c r="CD10" s="149"/>
      <c r="CE10" s="149"/>
      <c r="CF10" s="9"/>
      <c r="DI10" s="19" t="s">
        <v>18</v>
      </c>
      <c r="DJ10" s="111">
        <f>(DJ9/(P41/100))^2</f>
        <v>0.39071716918244831</v>
      </c>
      <c r="DK10" s="111"/>
      <c r="DL10" s="111"/>
      <c r="DM10" s="111"/>
      <c r="DO10" s="3" t="s">
        <v>12</v>
      </c>
      <c r="EM10" s="17"/>
      <c r="EQ10" s="26" t="s">
        <v>125</v>
      </c>
      <c r="ER10" s="93" t="str">
        <f>IMPRODUCT("1.73+0i",ER7,CI50)</f>
        <v>11973.3770793171-675.126509289004i</v>
      </c>
      <c r="ES10" s="93"/>
      <c r="ET10" s="93"/>
      <c r="EU10" s="93"/>
      <c r="EV10" s="93"/>
      <c r="EW10" s="93"/>
      <c r="EX10" s="93"/>
      <c r="EY10" s="93"/>
      <c r="EZ10" s="93"/>
      <c r="FA10" s="93"/>
      <c r="FB10" s="93"/>
      <c r="FC10" s="93"/>
      <c r="FD10" s="93"/>
      <c r="FE10" s="93"/>
      <c r="FF10" s="93"/>
      <c r="FG10" s="93"/>
      <c r="FH10" s="93"/>
      <c r="FI10" s="93"/>
      <c r="FJ10" s="93"/>
      <c r="FK10" s="93"/>
      <c r="FP10" s="3"/>
      <c r="FQ10" s="3"/>
      <c r="FR10" s="3"/>
      <c r="FS10" s="3"/>
      <c r="FT10" s="3"/>
      <c r="FU10" s="3"/>
      <c r="FV10" s="3"/>
      <c r="FW10" s="17"/>
      <c r="FX10" s="3"/>
      <c r="FY10" s="3"/>
      <c r="FZ10" s="3"/>
      <c r="GA10" s="26" t="s">
        <v>125</v>
      </c>
      <c r="GB10" s="93" t="str">
        <f>IMPRODUCT("1.73+0i",GB7,ES50)</f>
        <v>10270.1470569539-802.375681431261i</v>
      </c>
      <c r="GC10" s="93"/>
      <c r="GD10" s="93"/>
      <c r="GE10" s="93"/>
      <c r="GF10" s="93"/>
      <c r="GG10" s="93"/>
      <c r="GH10" s="93"/>
      <c r="GI10" s="93"/>
      <c r="GJ10" s="93"/>
      <c r="GK10" s="93"/>
      <c r="GL10" s="93"/>
      <c r="GM10" s="93"/>
      <c r="GN10" s="93"/>
      <c r="GO10" s="93"/>
      <c r="GP10" s="93"/>
      <c r="GQ10" s="93"/>
      <c r="GR10" s="93"/>
      <c r="GS10" s="93"/>
      <c r="GT10" s="93"/>
      <c r="GU10" s="93"/>
    </row>
    <row r="11" spans="2:209" ht="18" customHeight="1" x14ac:dyDescent="0.25">
      <c r="B11" s="7"/>
      <c r="D11" s="23"/>
      <c r="E11" s="23"/>
      <c r="F11" s="23"/>
      <c r="G11" s="10" t="s">
        <v>20</v>
      </c>
      <c r="H11" s="157" t="s">
        <v>21</v>
      </c>
      <c r="I11" s="157"/>
      <c r="J11" s="157"/>
      <c r="K11" s="157"/>
      <c r="L11" s="157"/>
      <c r="M11" s="157"/>
      <c r="N11" s="157"/>
      <c r="O11" s="157"/>
      <c r="P11" s="157"/>
      <c r="Q11" s="157"/>
      <c r="R11" s="157"/>
      <c r="S11" s="157"/>
      <c r="T11" s="157"/>
      <c r="U11" s="157"/>
      <c r="V11" s="157"/>
      <c r="W11" s="157"/>
      <c r="X11" s="23"/>
      <c r="Y11" s="23"/>
      <c r="Z11" s="23"/>
      <c r="AA11" s="23"/>
      <c r="AC11" s="10" t="s">
        <v>22</v>
      </c>
      <c r="AD11" s="23"/>
      <c r="AE11" s="158" t="s">
        <v>23</v>
      </c>
      <c r="AF11" s="158"/>
      <c r="AG11" s="158"/>
      <c r="AH11" s="158"/>
      <c r="AI11" s="158"/>
      <c r="AJ11" s="158"/>
      <c r="AK11" s="158"/>
      <c r="AL11" s="158"/>
      <c r="AM11" s="158"/>
      <c r="AN11" s="158"/>
      <c r="AO11" s="23"/>
      <c r="AP11" s="9"/>
      <c r="AR11" s="7"/>
      <c r="BF11" s="10" t="s">
        <v>24</v>
      </c>
      <c r="BH11" s="203" t="str">
        <f>ROUND(DJ8,0)&amp;" amps, "&amp;ROUND(DO8,1)&amp;"°"</f>
        <v>1100 amps, -80°</v>
      </c>
      <c r="BI11" s="203"/>
      <c r="BJ11" s="203"/>
      <c r="BK11" s="203"/>
      <c r="BL11" s="203"/>
      <c r="BM11" s="203"/>
      <c r="BN11" s="203"/>
      <c r="BO11" s="32"/>
      <c r="BP11" s="187" t="str">
        <f>ROUND(GB26,0)&amp;" amps, "&amp;ROUND(GG26,1)&amp;"°"</f>
        <v>1454 amps, -82.9°</v>
      </c>
      <c r="BQ11" s="187"/>
      <c r="BR11" s="187"/>
      <c r="BS11" s="187"/>
      <c r="BT11" s="187"/>
      <c r="BU11" s="187"/>
      <c r="BV11" s="187"/>
      <c r="BW11" s="29"/>
      <c r="BX11" s="75"/>
      <c r="BY11" s="133" t="str">
        <f>ROUND(ER26,0)&amp;" amps, "&amp;ROUND(EW26,1)&amp;"°"</f>
        <v>1213 amps, -84.8°</v>
      </c>
      <c r="BZ11" s="133"/>
      <c r="CA11" s="133"/>
      <c r="CB11" s="133"/>
      <c r="CC11" s="133"/>
      <c r="CD11" s="133"/>
      <c r="CE11" s="133"/>
      <c r="CF11" s="9"/>
      <c r="DA11" s="15"/>
      <c r="DB11" s="15"/>
      <c r="DC11" s="15"/>
      <c r="DD11" s="15"/>
      <c r="DE11" s="15"/>
      <c r="DF11" s="15"/>
      <c r="DG11" s="15"/>
      <c r="DH11" s="15"/>
      <c r="DI11" s="16" t="s">
        <v>25</v>
      </c>
      <c r="DJ11" s="118" t="str">
        <f>IMPRODUCT(CI36,DJ7,"1.73+0i")</f>
        <v>7791.81558335364-210.90606518205i</v>
      </c>
      <c r="DK11" s="118"/>
      <c r="DL11" s="118"/>
      <c r="DM11" s="118"/>
      <c r="DN11" s="118"/>
      <c r="DO11" s="118"/>
      <c r="DP11" s="118"/>
      <c r="DQ11" s="118"/>
      <c r="DR11" s="118"/>
      <c r="DS11" s="118"/>
      <c r="DT11" s="118"/>
      <c r="DU11" s="118"/>
      <c r="DV11" s="118"/>
      <c r="DW11" s="118"/>
      <c r="DX11" s="118"/>
      <c r="DY11" s="118"/>
      <c r="DZ11" s="118"/>
      <c r="EA11" s="118"/>
      <c r="EB11" s="118"/>
      <c r="EC11" s="118"/>
      <c r="EQ11" s="26" t="s">
        <v>126</v>
      </c>
      <c r="ER11" s="110">
        <f>IMABS(ER10)</f>
        <v>11992.395694233111</v>
      </c>
      <c r="ES11" s="110"/>
      <c r="ET11" s="110"/>
      <c r="EU11" s="110"/>
      <c r="EV11" s="3" t="s">
        <v>9</v>
      </c>
      <c r="EW11" s="93">
        <f>DEGREES(IMARGUMENT(ER10))</f>
        <v>-3.2272418283655129</v>
      </c>
      <c r="EX11" s="93"/>
      <c r="EY11" s="93"/>
      <c r="EZ11" s="1" t="s">
        <v>30</v>
      </c>
      <c r="FG11" s="2"/>
      <c r="FP11" s="3"/>
      <c r="FQ11" s="3"/>
      <c r="FR11" s="3"/>
      <c r="FS11" s="3"/>
      <c r="FT11" s="3"/>
      <c r="FU11" s="3"/>
      <c r="FV11" s="3"/>
      <c r="FW11" s="3"/>
      <c r="FX11" s="3"/>
      <c r="FY11" s="3"/>
      <c r="FZ11" s="3"/>
      <c r="GA11" s="26" t="s">
        <v>126</v>
      </c>
      <c r="GB11" s="110">
        <f>IMABS(GB10)</f>
        <v>10301.442972011791</v>
      </c>
      <c r="GC11" s="110"/>
      <c r="GD11" s="110"/>
      <c r="GE11" s="110"/>
      <c r="GF11" s="3" t="s">
        <v>9</v>
      </c>
      <c r="GG11" s="93">
        <f>DEGREES(IMARGUMENT(GB10))</f>
        <v>-4.4672724160836896</v>
      </c>
      <c r="GH11" s="93"/>
      <c r="GI11" s="93"/>
      <c r="GJ11" s="1" t="s">
        <v>30</v>
      </c>
      <c r="GQ11" s="2"/>
    </row>
    <row r="12" spans="2:209" ht="18" customHeight="1" x14ac:dyDescent="0.25">
      <c r="B12" s="7"/>
      <c r="C12" s="23"/>
      <c r="D12" s="23"/>
      <c r="E12" s="23"/>
      <c r="F12" s="23"/>
      <c r="G12" s="10" t="s">
        <v>26</v>
      </c>
      <c r="H12" s="157" t="s">
        <v>21</v>
      </c>
      <c r="I12" s="157"/>
      <c r="J12" s="157"/>
      <c r="K12" s="157"/>
      <c r="L12" s="157"/>
      <c r="M12" s="157"/>
      <c r="N12" s="157"/>
      <c r="O12" s="157"/>
      <c r="P12" s="157"/>
      <c r="Q12" s="157"/>
      <c r="R12" s="157"/>
      <c r="S12" s="157"/>
      <c r="T12" s="157"/>
      <c r="U12" s="157"/>
      <c r="V12" s="157"/>
      <c r="W12" s="157"/>
      <c r="X12" s="23"/>
      <c r="Y12" s="23"/>
      <c r="Z12" s="23"/>
      <c r="AA12" s="23"/>
      <c r="AB12" s="23"/>
      <c r="AC12" s="10" t="s">
        <v>27</v>
      </c>
      <c r="AD12" s="23"/>
      <c r="AE12" s="159" t="s">
        <v>28</v>
      </c>
      <c r="AF12" s="160"/>
      <c r="AG12" s="160"/>
      <c r="AH12" s="160"/>
      <c r="AI12" s="160"/>
      <c r="AJ12" s="160"/>
      <c r="AK12" s="160"/>
      <c r="AL12" s="160"/>
      <c r="AM12" s="160"/>
      <c r="AN12" s="161"/>
      <c r="AO12" s="23"/>
      <c r="AP12" s="9"/>
      <c r="AR12" s="7"/>
      <c r="AT12" s="19"/>
      <c r="AU12" s="19"/>
      <c r="AV12" s="19"/>
      <c r="AW12" s="19"/>
      <c r="AX12" s="19"/>
      <c r="AY12" s="19"/>
      <c r="AZ12" s="19"/>
      <c r="BA12" s="19"/>
      <c r="BB12" s="19"/>
      <c r="BC12" s="19"/>
      <c r="BD12" s="19"/>
      <c r="BE12" s="19"/>
      <c r="BF12" s="10" t="s">
        <v>29</v>
      </c>
      <c r="BH12" s="185">
        <f>DJ9</f>
        <v>3.1253686549847539</v>
      </c>
      <c r="BI12" s="185"/>
      <c r="BJ12" s="185"/>
      <c r="BK12" s="185"/>
      <c r="BL12" s="185"/>
      <c r="BM12" s="185"/>
      <c r="BN12" s="185"/>
      <c r="BO12" s="32"/>
      <c r="BP12" s="162">
        <f>GB27</f>
        <v>4.1304903656823431</v>
      </c>
      <c r="BQ12" s="162"/>
      <c r="BR12" s="162"/>
      <c r="BS12" s="162"/>
      <c r="BT12" s="162"/>
      <c r="BU12" s="162"/>
      <c r="BV12" s="162"/>
      <c r="BW12" s="59"/>
      <c r="BX12" s="78"/>
      <c r="BY12" s="136">
        <f>ER27</f>
        <v>3.4466636303732439</v>
      </c>
      <c r="BZ12" s="136"/>
      <c r="CA12" s="136"/>
      <c r="CB12" s="136"/>
      <c r="CC12" s="136"/>
      <c r="CD12" s="136"/>
      <c r="CE12" s="136"/>
      <c r="CF12" s="9"/>
      <c r="DI12" s="19" t="s">
        <v>25</v>
      </c>
      <c r="DJ12" s="110">
        <f>IMABS(DJ11)</f>
        <v>7794.6694255319899</v>
      </c>
      <c r="DK12" s="110"/>
      <c r="DL12" s="110"/>
      <c r="DM12" s="110"/>
      <c r="DN12" s="3" t="s">
        <v>9</v>
      </c>
      <c r="DO12" s="93">
        <f>DEGREES(IMARGUMENT(DJ11))</f>
        <v>-1.5504829941406368</v>
      </c>
      <c r="DP12" s="93"/>
      <c r="DQ12" s="93"/>
      <c r="DR12" s="1" t="s">
        <v>30</v>
      </c>
      <c r="DT12" s="3"/>
      <c r="EQ12" s="19" t="s">
        <v>36</v>
      </c>
      <c r="ER12" s="111">
        <f>ER11/(P29*1000)</f>
        <v>0.96169973490241467</v>
      </c>
      <c r="ES12" s="111"/>
      <c r="ET12" s="111"/>
      <c r="EU12" s="111"/>
      <c r="FP12" s="3"/>
      <c r="FQ12" s="3"/>
      <c r="FR12" s="3"/>
      <c r="FS12" s="3"/>
      <c r="FT12" s="3"/>
      <c r="FU12" s="3"/>
      <c r="FV12" s="3"/>
      <c r="FW12" s="3"/>
      <c r="FX12" s="3"/>
      <c r="FY12" s="3"/>
      <c r="FZ12" s="3"/>
      <c r="GA12" s="19" t="s">
        <v>36</v>
      </c>
      <c r="GB12" s="111">
        <f>GB11/(P29*1000)</f>
        <v>0.82609807313647088</v>
      </c>
      <c r="GC12" s="111"/>
      <c r="GD12" s="111"/>
      <c r="GE12" s="111"/>
    </row>
    <row r="13" spans="2:209" ht="18" customHeight="1" x14ac:dyDescent="0.25">
      <c r="B13" s="7"/>
      <c r="C13" s="23"/>
      <c r="D13" s="23"/>
      <c r="AO13" s="23"/>
      <c r="AP13" s="9"/>
      <c r="AR13" s="7"/>
      <c r="AT13" s="19"/>
      <c r="AU13" s="19"/>
      <c r="AV13" s="19"/>
      <c r="AW13" s="19"/>
      <c r="AX13" s="19"/>
      <c r="AY13" s="19"/>
      <c r="AZ13" s="19"/>
      <c r="BA13" s="19"/>
      <c r="BB13" s="19"/>
      <c r="BC13" s="19"/>
      <c r="BD13" s="19"/>
      <c r="BE13" s="19"/>
      <c r="BF13" s="10" t="s">
        <v>31</v>
      </c>
      <c r="BH13" s="200" t="str">
        <f>ROUND(DJ12/1000,2)&amp;" kV"</f>
        <v>7.79 kV</v>
      </c>
      <c r="BI13" s="200"/>
      <c r="BJ13" s="200"/>
      <c r="BK13" s="200"/>
      <c r="BL13" s="200"/>
      <c r="BM13" s="200"/>
      <c r="BN13" s="200"/>
      <c r="BO13" s="32"/>
      <c r="BP13" s="139" t="str">
        <f>ROUND(GB15/1000,2)&amp;" kV"</f>
        <v>10.3 kV</v>
      </c>
      <c r="BQ13" s="139"/>
      <c r="BR13" s="139"/>
      <c r="BS13" s="139"/>
      <c r="BT13" s="139"/>
      <c r="BU13" s="139"/>
      <c r="BV13" s="139"/>
      <c r="BW13" s="60"/>
      <c r="BX13" s="79"/>
      <c r="BY13" s="140" t="str">
        <f>ROUND(ER15/1000,2)&amp;" kV"</f>
        <v>8.6 kV</v>
      </c>
      <c r="BZ13" s="140"/>
      <c r="CA13" s="140"/>
      <c r="CB13" s="140"/>
      <c r="CC13" s="140"/>
      <c r="CD13" s="140"/>
      <c r="CE13" s="140"/>
      <c r="CF13" s="9"/>
      <c r="DI13" s="19" t="s">
        <v>32</v>
      </c>
      <c r="DJ13" s="111">
        <f>DJ12/(P36*1000)</f>
        <v>0.62507373099695185</v>
      </c>
      <c r="DK13" s="111"/>
      <c r="DL13" s="111"/>
      <c r="DM13" s="111"/>
      <c r="EQ13" s="19" t="s">
        <v>38</v>
      </c>
      <c r="ER13" s="98">
        <f>1-ER12</f>
        <v>3.8300265097585329E-2</v>
      </c>
      <c r="ES13" s="100"/>
      <c r="ET13" s="100"/>
      <c r="EU13" s="100"/>
      <c r="FP13" s="3"/>
      <c r="FQ13" s="3"/>
      <c r="FR13" s="3"/>
      <c r="FS13" s="3"/>
      <c r="FT13" s="3"/>
      <c r="FU13" s="3"/>
      <c r="FV13" s="3"/>
      <c r="FW13" s="3"/>
      <c r="FX13" s="3"/>
      <c r="FY13" s="3"/>
      <c r="FZ13" s="3"/>
      <c r="GA13" s="19" t="s">
        <v>38</v>
      </c>
      <c r="GB13" s="98">
        <f>1-GB12</f>
        <v>0.17390192686352912</v>
      </c>
      <c r="GC13" s="100"/>
      <c r="GD13" s="100"/>
      <c r="GE13" s="100"/>
    </row>
    <row r="14" spans="2:209" ht="18" customHeight="1" x14ac:dyDescent="0.3">
      <c r="B14" s="7"/>
      <c r="C14" s="28" t="s">
        <v>34</v>
      </c>
      <c r="D14" s="23"/>
      <c r="AO14" s="23"/>
      <c r="AP14" s="9"/>
      <c r="AR14" s="7"/>
      <c r="AT14" s="19"/>
      <c r="AU14" s="19"/>
      <c r="AV14" s="19"/>
      <c r="AW14" s="19"/>
      <c r="AX14" s="19"/>
      <c r="AY14" s="19"/>
      <c r="AZ14" s="19"/>
      <c r="BA14" s="19"/>
      <c r="BB14" s="19"/>
      <c r="BC14" s="19"/>
      <c r="BD14" s="19"/>
      <c r="BE14" s="19"/>
      <c r="BF14" s="19" t="s">
        <v>35</v>
      </c>
      <c r="BH14" s="185">
        <f>DJ13</f>
        <v>0.62507373099695185</v>
      </c>
      <c r="BI14" s="185"/>
      <c r="BJ14" s="185"/>
      <c r="BK14" s="185"/>
      <c r="BL14" s="185"/>
      <c r="BM14" s="185"/>
      <c r="BN14" s="185"/>
      <c r="BO14" s="32"/>
      <c r="BP14" s="126">
        <f>GB16</f>
        <v>0.82609807313647088</v>
      </c>
      <c r="BQ14" s="126"/>
      <c r="BR14" s="126"/>
      <c r="BS14" s="126"/>
      <c r="BT14" s="126"/>
      <c r="BU14" s="126"/>
      <c r="BV14" s="126"/>
      <c r="BW14" s="29"/>
      <c r="BX14" s="75"/>
      <c r="BY14" s="127">
        <f>ER16</f>
        <v>0.68933272607464968</v>
      </c>
      <c r="BZ14" s="127"/>
      <c r="CA14" s="127"/>
      <c r="CB14" s="127"/>
      <c r="CC14" s="127"/>
      <c r="CD14" s="127"/>
      <c r="CE14" s="127"/>
      <c r="CF14" s="9"/>
      <c r="CJ14" s="202" t="s">
        <v>127</v>
      </c>
      <c r="CK14" s="202"/>
      <c r="CL14" s="202"/>
      <c r="CM14" s="202"/>
      <c r="CN14" s="202"/>
      <c r="CO14" s="202"/>
      <c r="CP14" s="202"/>
      <c r="CQ14" s="202"/>
      <c r="CR14" s="202"/>
      <c r="CS14" s="202"/>
      <c r="CT14" s="202"/>
      <c r="CU14" s="202"/>
      <c r="CV14" s="202"/>
      <c r="CW14" s="202"/>
      <c r="CX14" s="202"/>
      <c r="CY14" s="202"/>
      <c r="CZ14" s="202"/>
      <c r="DA14" s="202"/>
      <c r="DB14" s="202"/>
      <c r="DC14" s="202"/>
      <c r="DD14" s="202"/>
      <c r="DE14" s="202"/>
      <c r="DF14" s="202"/>
      <c r="DG14" s="202"/>
      <c r="DH14" s="202"/>
      <c r="DI14" s="202"/>
      <c r="DJ14" s="179" t="str">
        <f>IMPRODUCT("1.73+0i",DJ7,CI36)</f>
        <v>7791.81558335364-210.90606518205i</v>
      </c>
      <c r="DK14" s="179"/>
      <c r="DL14" s="179"/>
      <c r="DM14" s="179"/>
      <c r="DN14" s="179"/>
      <c r="DO14" s="179"/>
      <c r="DP14" s="179"/>
      <c r="DQ14" s="179"/>
      <c r="DR14" s="179"/>
      <c r="DS14" s="179"/>
      <c r="DT14" s="179"/>
      <c r="DU14" s="179"/>
      <c r="DV14" s="179"/>
      <c r="DW14" s="179"/>
      <c r="DX14" s="179"/>
      <c r="DY14" s="179"/>
      <c r="DZ14" s="179"/>
      <c r="EA14" s="179"/>
      <c r="EB14" s="179"/>
      <c r="EC14" s="179"/>
      <c r="EH14" s="17"/>
      <c r="EI14" s="17"/>
      <c r="EJ14" s="17"/>
      <c r="EK14" s="17"/>
      <c r="EL14" s="17"/>
      <c r="EM14" s="17"/>
      <c r="EN14" s="17"/>
      <c r="EO14" s="17"/>
      <c r="EP14" s="17"/>
      <c r="EQ14" s="16" t="s">
        <v>25</v>
      </c>
      <c r="ER14" s="118" t="str">
        <f>IMPRODUCT(CI36,ER25,"1.73+0i")</f>
        <v>8543.14350708119-951.606853955736i</v>
      </c>
      <c r="ES14" s="118"/>
      <c r="ET14" s="118"/>
      <c r="EU14" s="118"/>
      <c r="EV14" s="118"/>
      <c r="EW14" s="118"/>
      <c r="EX14" s="118"/>
      <c r="EY14" s="118"/>
      <c r="EZ14" s="118"/>
      <c r="FA14" s="118"/>
      <c r="FB14" s="118"/>
      <c r="FC14" s="118"/>
      <c r="FD14" s="118"/>
      <c r="FE14" s="118"/>
      <c r="FF14" s="118"/>
      <c r="FG14" s="118"/>
      <c r="FH14" s="118"/>
      <c r="FI14" s="118"/>
      <c r="FJ14" s="118"/>
      <c r="FK14" s="118"/>
      <c r="FP14" s="3"/>
      <c r="FQ14" s="3"/>
      <c r="FR14" s="17"/>
      <c r="FS14" s="17"/>
      <c r="FT14" s="17"/>
      <c r="FU14" s="17"/>
      <c r="FV14" s="17"/>
      <c r="FW14" s="17"/>
      <c r="FX14" s="17"/>
      <c r="FY14" s="17"/>
      <c r="FZ14" s="17"/>
      <c r="GA14" s="16" t="s">
        <v>25</v>
      </c>
      <c r="GB14" s="118" t="str">
        <f>IMPRODUCT(ES50,GB7,"1.73+0i")</f>
        <v>10270.1470569539-802.375681431261i</v>
      </c>
      <c r="GC14" s="118"/>
      <c r="GD14" s="118"/>
      <c r="GE14" s="118"/>
      <c r="GF14" s="118"/>
      <c r="GG14" s="118"/>
      <c r="GH14" s="118"/>
      <c r="GI14" s="118"/>
      <c r="GJ14" s="118"/>
      <c r="GK14" s="118"/>
      <c r="GL14" s="118"/>
      <c r="GM14" s="118"/>
      <c r="GN14" s="118"/>
      <c r="GO14" s="118"/>
      <c r="GP14" s="118"/>
      <c r="GQ14" s="118"/>
      <c r="GR14" s="118"/>
      <c r="GS14" s="118"/>
      <c r="GT14" s="118"/>
      <c r="GU14" s="118"/>
    </row>
    <row r="15" spans="2:209" ht="18" customHeight="1" x14ac:dyDescent="0.25">
      <c r="B15" s="7"/>
      <c r="D15" s="29"/>
      <c r="E15" s="29"/>
      <c r="F15" s="29"/>
      <c r="G15" s="29"/>
      <c r="H15" s="29"/>
      <c r="I15" s="29"/>
      <c r="J15" s="29"/>
      <c r="K15" s="29"/>
      <c r="AP15" s="9"/>
      <c r="AR15" s="7"/>
      <c r="AT15" s="19"/>
      <c r="AU15" s="19"/>
      <c r="AV15" s="19"/>
      <c r="AW15" s="19"/>
      <c r="AX15" s="19"/>
      <c r="AY15" s="19"/>
      <c r="AZ15" s="19"/>
      <c r="BA15" s="19"/>
      <c r="BB15" s="19"/>
      <c r="BC15" s="19"/>
      <c r="BD15" s="19"/>
      <c r="BE15" s="19"/>
      <c r="BF15" s="19" t="s">
        <v>37</v>
      </c>
      <c r="BH15" s="185">
        <f>DJ10</f>
        <v>0.39071716918244831</v>
      </c>
      <c r="BI15" s="185"/>
      <c r="BJ15" s="185"/>
      <c r="BK15" s="185"/>
      <c r="BL15" s="185"/>
      <c r="BM15" s="185"/>
      <c r="BN15" s="185"/>
      <c r="BO15" s="32"/>
      <c r="BP15" s="126">
        <f>GB28</f>
        <v>0.68243802643978635</v>
      </c>
      <c r="BQ15" s="126"/>
      <c r="BR15" s="126"/>
      <c r="BS15" s="126"/>
      <c r="BT15" s="126"/>
      <c r="BU15" s="126"/>
      <c r="BV15" s="126"/>
      <c r="BW15" s="29"/>
      <c r="BX15" s="75"/>
      <c r="BY15" s="127">
        <f>ER28</f>
        <v>0.4751796072375068</v>
      </c>
      <c r="BZ15" s="127"/>
      <c r="CA15" s="127"/>
      <c r="CB15" s="127"/>
      <c r="CC15" s="127"/>
      <c r="CD15" s="127"/>
      <c r="CE15" s="127"/>
      <c r="CF15" s="9"/>
      <c r="DI15" s="19" t="s">
        <v>127</v>
      </c>
      <c r="DJ15" s="114">
        <f>IMABS(DJ14)</f>
        <v>7794.6694255319899</v>
      </c>
      <c r="DK15" s="114"/>
      <c r="DL15" s="114"/>
      <c r="DM15" s="114"/>
      <c r="DN15" s="3" t="s">
        <v>9</v>
      </c>
      <c r="DO15" s="93">
        <f>DEGREES(IMARGUMENT(DJ14))</f>
        <v>-1.5504829941406368</v>
      </c>
      <c r="DP15" s="93"/>
      <c r="DQ15" s="93"/>
      <c r="DR15" s="1" t="s">
        <v>10</v>
      </c>
      <c r="DS15" s="1" t="s">
        <v>30</v>
      </c>
      <c r="DT15" s="3"/>
      <c r="DU15" s="3"/>
      <c r="DV15" s="3"/>
      <c r="DW15" s="3"/>
      <c r="DX15" s="3"/>
      <c r="DY15" s="3"/>
      <c r="EQ15" s="19" t="s">
        <v>25</v>
      </c>
      <c r="ER15" s="110">
        <f>IMABS(ER14)</f>
        <v>8595.9790941508818</v>
      </c>
      <c r="ES15" s="110"/>
      <c r="ET15" s="110"/>
      <c r="EU15" s="110"/>
      <c r="EV15" s="3" t="s">
        <v>9</v>
      </c>
      <c r="EW15" s="93">
        <f>DEGREES(IMARGUMENT(ER14))</f>
        <v>-6.3558834625027893</v>
      </c>
      <c r="EX15" s="93"/>
      <c r="EY15" s="93"/>
      <c r="EZ15" s="1" t="s">
        <v>30</v>
      </c>
      <c r="FB15" s="3"/>
      <c r="FG15" s="2"/>
      <c r="FH15" s="2"/>
      <c r="FI15" s="2"/>
      <c r="FP15" s="3"/>
      <c r="FQ15" s="3"/>
      <c r="FR15" s="3"/>
      <c r="FS15" s="3"/>
      <c r="FT15" s="3"/>
      <c r="FU15" s="3"/>
      <c r="FV15" s="3"/>
      <c r="FW15" s="3"/>
      <c r="FX15" s="3"/>
      <c r="FY15" s="3"/>
      <c r="FZ15" s="3"/>
      <c r="GA15" s="19" t="s">
        <v>25</v>
      </c>
      <c r="GB15" s="110">
        <f>IMABS(GB14)</f>
        <v>10301.442972011791</v>
      </c>
      <c r="GC15" s="110"/>
      <c r="GD15" s="110"/>
      <c r="GE15" s="110"/>
      <c r="GF15" s="3" t="s">
        <v>9</v>
      </c>
      <c r="GG15" s="93">
        <f>DEGREES(IMARGUMENT(GB14))</f>
        <v>-4.4672724160836896</v>
      </c>
      <c r="GH15" s="93"/>
      <c r="GI15" s="93"/>
      <c r="GJ15" s="1" t="s">
        <v>30</v>
      </c>
      <c r="GL15" s="3"/>
      <c r="GQ15" s="2"/>
      <c r="GR15" s="2"/>
      <c r="GS15" s="2"/>
      <c r="HA15" s="53"/>
    </row>
    <row r="16" spans="2:209" ht="18" customHeight="1" x14ac:dyDescent="0.25">
      <c r="B16" s="7"/>
      <c r="AP16" s="9"/>
      <c r="AR16" s="7"/>
      <c r="BO16" s="32"/>
      <c r="BP16" s="32"/>
      <c r="BQ16" s="32"/>
      <c r="BZ16" s="14"/>
      <c r="CA16" s="14"/>
      <c r="CB16" s="14"/>
      <c r="CF16" s="9"/>
      <c r="DI16" s="19" t="s">
        <v>36</v>
      </c>
      <c r="DJ16" s="111">
        <f>DJ15/(P29*1000)</f>
        <v>0.62507373099695185</v>
      </c>
      <c r="DK16" s="111"/>
      <c r="DL16" s="111"/>
      <c r="DM16" s="111"/>
      <c r="EQ16" s="19" t="s">
        <v>32</v>
      </c>
      <c r="ER16" s="204">
        <f>ER15/(P36*1000)</f>
        <v>0.68933272607464968</v>
      </c>
      <c r="ES16" s="204"/>
      <c r="ET16" s="204"/>
      <c r="EU16" s="204"/>
      <c r="FG16" s="2"/>
      <c r="FH16" s="2"/>
      <c r="FI16" s="2"/>
      <c r="FL16" s="3"/>
      <c r="FP16" s="3"/>
      <c r="FQ16" s="3"/>
      <c r="FR16" s="3"/>
      <c r="FS16" s="3"/>
      <c r="FT16" s="3"/>
      <c r="FU16" s="3"/>
      <c r="FV16" s="3"/>
      <c r="FW16" s="3"/>
      <c r="FX16" s="3"/>
      <c r="FY16" s="3"/>
      <c r="FZ16" s="3"/>
      <c r="GA16" s="19" t="s">
        <v>32</v>
      </c>
      <c r="GB16" s="204">
        <f>GB15/(P36*1000)</f>
        <v>0.82609807313647088</v>
      </c>
      <c r="GC16" s="204"/>
      <c r="GD16" s="204"/>
      <c r="GE16" s="204"/>
      <c r="GQ16" s="2"/>
      <c r="GR16" s="2"/>
      <c r="GS16" s="2"/>
      <c r="GV16" s="3"/>
    </row>
    <row r="17" spans="2:207" ht="18" customHeight="1" x14ac:dyDescent="0.25">
      <c r="B17" s="7"/>
      <c r="AP17" s="9"/>
      <c r="AR17" s="7"/>
      <c r="BO17" s="32"/>
      <c r="BP17" s="32"/>
      <c r="BQ17" s="32"/>
      <c r="BZ17" s="14"/>
      <c r="CA17" s="14"/>
      <c r="CB17" s="14"/>
      <c r="CF17" s="9"/>
      <c r="DI17" s="19" t="s">
        <v>38</v>
      </c>
      <c r="DJ17" s="98">
        <f>1-DJ16</f>
        <v>0.37492626900304815</v>
      </c>
      <c r="DK17" s="100"/>
      <c r="DL17" s="100"/>
      <c r="DM17" s="100"/>
      <c r="FG17" s="2"/>
      <c r="FH17" s="2"/>
      <c r="FI17" s="2"/>
      <c r="FL17" s="3"/>
      <c r="FP17" s="3"/>
      <c r="FQ17" s="3"/>
      <c r="FR17" s="3"/>
      <c r="FS17" s="3"/>
      <c r="FT17" s="3"/>
      <c r="FU17" s="3"/>
      <c r="FV17" s="3"/>
      <c r="FW17" s="3"/>
      <c r="FX17" s="3"/>
      <c r="FY17" s="3"/>
      <c r="FZ17" s="3"/>
      <c r="GA17" s="3"/>
      <c r="GB17" s="3"/>
      <c r="GQ17" s="2"/>
      <c r="GR17" s="2"/>
      <c r="GS17" s="2"/>
      <c r="GV17" s="3"/>
    </row>
    <row r="18" spans="2:207" ht="18" customHeight="1" x14ac:dyDescent="0.25">
      <c r="B18" s="7"/>
      <c r="AP18" s="9"/>
      <c r="AR18" s="7"/>
      <c r="AS18" s="18" t="s">
        <v>41</v>
      </c>
      <c r="AT18" s="19"/>
      <c r="AU18" s="19"/>
      <c r="AV18" s="19"/>
      <c r="AW18" s="19"/>
      <c r="AX18" s="19"/>
      <c r="BO18" s="32"/>
      <c r="BP18" s="32"/>
      <c r="BQ18" s="32"/>
      <c r="BT18" s="14"/>
      <c r="BU18" s="14"/>
      <c r="BV18" s="14"/>
      <c r="BW18" s="14"/>
      <c r="BX18" s="14"/>
      <c r="BZ18" s="14"/>
      <c r="CA18" s="14"/>
      <c r="CB18" s="14"/>
      <c r="CC18" s="14"/>
      <c r="CD18" s="14"/>
      <c r="CE18" s="14"/>
      <c r="CF18" s="9"/>
      <c r="DI18" s="19" t="s">
        <v>39</v>
      </c>
      <c r="DJ18" s="100">
        <f>P24/P29</f>
        <v>2.7666399358460305</v>
      </c>
      <c r="DK18" s="100"/>
      <c r="DL18" s="100"/>
      <c r="DM18" s="100"/>
      <c r="FG18" s="2"/>
      <c r="FH18" s="2"/>
      <c r="FI18" s="2"/>
      <c r="FL18" s="3"/>
      <c r="FP18" s="3"/>
      <c r="FQ18" s="3"/>
      <c r="FR18" s="3"/>
      <c r="FS18" s="3"/>
      <c r="FT18" s="3"/>
      <c r="FU18" s="3"/>
      <c r="FV18" s="3"/>
      <c r="FW18" s="3"/>
      <c r="FX18" s="3"/>
      <c r="FY18" s="3"/>
      <c r="FZ18" s="3"/>
      <c r="GA18" s="3"/>
      <c r="GB18" s="3"/>
      <c r="GQ18" s="2"/>
      <c r="GR18" s="2"/>
      <c r="GS18" s="2"/>
      <c r="GV18" s="3"/>
    </row>
    <row r="19" spans="2:207" ht="18" customHeight="1" x14ac:dyDescent="0.25">
      <c r="B19" s="7"/>
      <c r="AP19" s="9"/>
      <c r="AR19" s="7"/>
      <c r="BH19" s="144" t="s">
        <v>124</v>
      </c>
      <c r="BI19" s="144"/>
      <c r="BJ19" s="144"/>
      <c r="BK19" s="144"/>
      <c r="BL19" s="144"/>
      <c r="BM19" s="144"/>
      <c r="BN19" s="144"/>
      <c r="BO19" s="32"/>
      <c r="BP19" s="146" t="s">
        <v>203</v>
      </c>
      <c r="BQ19" s="146"/>
      <c r="BR19" s="146"/>
      <c r="BS19" s="146"/>
      <c r="BT19" s="146"/>
      <c r="BU19" s="146"/>
      <c r="BV19" s="146"/>
      <c r="BW19" s="14"/>
      <c r="BX19" s="148" t="s">
        <v>204</v>
      </c>
      <c r="BY19" s="148"/>
      <c r="BZ19" s="148"/>
      <c r="CA19" s="148"/>
      <c r="CB19" s="148"/>
      <c r="CC19" s="148"/>
      <c r="CD19" s="148"/>
      <c r="CE19" s="148"/>
      <c r="CF19" s="9"/>
      <c r="DC19" s="15"/>
      <c r="DD19" s="32"/>
      <c r="DE19" s="32"/>
      <c r="DF19" s="32"/>
      <c r="DG19" s="32"/>
      <c r="DH19" s="32"/>
      <c r="DI19" s="55" t="s">
        <v>40</v>
      </c>
      <c r="DJ19" s="179" t="str">
        <f>IMPRODUCT(IMSUM(CI36,CI32),DJ7,"1.73+0i",DJ18)</f>
        <v>23077.064187107-370.230770930219i</v>
      </c>
      <c r="DK19" s="179"/>
      <c r="DL19" s="179"/>
      <c r="DM19" s="179"/>
      <c r="DN19" s="179"/>
      <c r="DO19" s="179"/>
      <c r="DP19" s="179"/>
      <c r="DQ19" s="179"/>
      <c r="DR19" s="179"/>
      <c r="DS19" s="179"/>
      <c r="DT19" s="179"/>
      <c r="DU19" s="179"/>
      <c r="DV19" s="179"/>
      <c r="DW19" s="179"/>
      <c r="DX19" s="179"/>
      <c r="DY19" s="179"/>
      <c r="DZ19" s="179"/>
      <c r="EA19" s="179"/>
      <c r="EB19" s="179"/>
      <c r="EC19" s="179"/>
      <c r="ED19" s="179"/>
      <c r="EQ19" s="19" t="s">
        <v>39</v>
      </c>
      <c r="ER19" s="100">
        <f>DJ18</f>
        <v>2.7666399358460305</v>
      </c>
      <c r="ES19" s="100"/>
      <c r="ET19" s="100"/>
      <c r="EU19" s="100"/>
      <c r="FG19" s="2"/>
      <c r="FH19" s="2"/>
      <c r="FI19" s="2"/>
      <c r="FL19" s="3"/>
      <c r="FP19" s="3"/>
      <c r="FQ19" s="3"/>
      <c r="FR19" s="3"/>
      <c r="FS19" s="3"/>
      <c r="FT19" s="3"/>
      <c r="FU19" s="3"/>
      <c r="FV19" s="3"/>
      <c r="FW19" s="3"/>
      <c r="FX19" s="3"/>
      <c r="FY19" s="3"/>
      <c r="FZ19" s="3"/>
      <c r="GA19" s="19" t="s">
        <v>39</v>
      </c>
      <c r="GB19" s="100">
        <f>ER19</f>
        <v>2.7666399358460305</v>
      </c>
      <c r="GC19" s="100"/>
      <c r="GD19" s="100"/>
      <c r="GE19" s="100"/>
      <c r="GQ19" s="2"/>
      <c r="GR19" s="2"/>
      <c r="GS19" s="2"/>
      <c r="GV19" s="3"/>
    </row>
    <row r="20" spans="2:207" ht="18" customHeight="1" x14ac:dyDescent="0.25">
      <c r="B20" s="7"/>
      <c r="AP20" s="9"/>
      <c r="AR20" s="7"/>
      <c r="AS20" s="155" t="s">
        <v>17</v>
      </c>
      <c r="AT20" s="155"/>
      <c r="AU20" s="155"/>
      <c r="AV20" s="155"/>
      <c r="AW20" s="155"/>
      <c r="AX20" s="155"/>
      <c r="AY20" s="155"/>
      <c r="AZ20" s="155"/>
      <c r="BA20" s="155"/>
      <c r="BB20" s="155"/>
      <c r="BC20" s="155"/>
      <c r="BD20" s="155"/>
      <c r="BE20" s="155"/>
      <c r="BF20" s="155"/>
      <c r="BH20" s="145"/>
      <c r="BI20" s="145"/>
      <c r="BJ20" s="145"/>
      <c r="BK20" s="145"/>
      <c r="BL20" s="145"/>
      <c r="BM20" s="145"/>
      <c r="BN20" s="145"/>
      <c r="BO20" s="32"/>
      <c r="BP20" s="147"/>
      <c r="BQ20" s="147"/>
      <c r="BR20" s="147"/>
      <c r="BS20" s="147"/>
      <c r="BT20" s="147"/>
      <c r="BU20" s="147"/>
      <c r="BV20" s="147"/>
      <c r="BW20" s="31"/>
      <c r="BX20" s="149"/>
      <c r="BY20" s="149"/>
      <c r="BZ20" s="149"/>
      <c r="CA20" s="149"/>
      <c r="CB20" s="149"/>
      <c r="CC20" s="149"/>
      <c r="CD20" s="149"/>
      <c r="CE20" s="149"/>
      <c r="CF20" s="9"/>
      <c r="DI20" s="19" t="s">
        <v>40</v>
      </c>
      <c r="DJ20" s="110">
        <f>IMABS(DJ19)</f>
        <v>23080.03384572042</v>
      </c>
      <c r="DK20" s="110"/>
      <c r="DL20" s="110"/>
      <c r="DM20" s="110"/>
      <c r="DN20" s="3" t="s">
        <v>9</v>
      </c>
      <c r="DO20" s="93">
        <f>DEGREES(IMARGUMENT(DJ19))</f>
        <v>-0.91913082124160472</v>
      </c>
      <c r="DP20" s="93"/>
      <c r="DQ20" s="93"/>
      <c r="DR20" s="1" t="s">
        <v>30</v>
      </c>
      <c r="ED20" s="3" t="s">
        <v>128</v>
      </c>
      <c r="EQ20" s="19" t="s">
        <v>40</v>
      </c>
      <c r="ER20" s="100" t="str">
        <f>IMPRODUCT(IMSUM(CI32,CI50),ER7,"1.73+0i",ER19)</f>
        <v>33267.2177666557-1632.212400765i</v>
      </c>
      <c r="ES20" s="100"/>
      <c r="ET20" s="100"/>
      <c r="EU20" s="100"/>
      <c r="EV20" s="100"/>
      <c r="EW20" s="100"/>
      <c r="EX20" s="100"/>
      <c r="EY20" s="100"/>
      <c r="EZ20" s="100"/>
      <c r="FA20" s="100"/>
      <c r="FB20" s="100"/>
      <c r="FC20" s="100"/>
      <c r="FD20" s="100"/>
      <c r="FE20" s="100"/>
      <c r="FF20" s="100"/>
      <c r="FG20" s="100"/>
      <c r="FH20" s="100"/>
      <c r="FI20" s="100"/>
      <c r="FJ20" s="100"/>
      <c r="FK20" s="100"/>
      <c r="FL20" s="100"/>
      <c r="FP20" s="3"/>
      <c r="FQ20" s="3"/>
      <c r="FR20" s="3"/>
      <c r="FS20" s="3"/>
      <c r="FT20" s="3"/>
      <c r="FU20" s="3"/>
      <c r="FV20" s="3"/>
      <c r="FW20" s="3"/>
      <c r="FX20" s="3"/>
      <c r="FY20" s="3"/>
      <c r="FZ20" s="3"/>
      <c r="GA20" s="19" t="s">
        <v>40</v>
      </c>
      <c r="GB20" s="100" t="str">
        <f>IMPRODUCT(IMSUM(CI32,ES50),GB7,"1.73+0i",GB19)</f>
        <v>29106.8052976283-1890.15243882874i</v>
      </c>
      <c r="GC20" s="100"/>
      <c r="GD20" s="100"/>
      <c r="GE20" s="100"/>
      <c r="GF20" s="100"/>
      <c r="GG20" s="100"/>
      <c r="GH20" s="100"/>
      <c r="GI20" s="100"/>
      <c r="GJ20" s="100"/>
      <c r="GK20" s="100"/>
      <c r="GL20" s="100"/>
      <c r="GM20" s="100"/>
      <c r="GN20" s="100"/>
      <c r="GO20" s="100"/>
      <c r="GP20" s="100"/>
      <c r="GQ20" s="100"/>
      <c r="GR20" s="100"/>
      <c r="GS20" s="100"/>
      <c r="GT20" s="100"/>
      <c r="GU20" s="100"/>
      <c r="GV20" s="100"/>
    </row>
    <row r="21" spans="2:207" ht="18" customHeight="1" x14ac:dyDescent="0.25">
      <c r="B21" s="7"/>
      <c r="AP21" s="9"/>
      <c r="AR21" s="7"/>
      <c r="AS21" s="22"/>
      <c r="BF21" s="19" t="str">
        <f>"Voltage at Primary (PCC) "&amp;P24&amp;" kV Bus:"</f>
        <v>Voltage at Primary (PCC) 34.5 kV Bus:</v>
      </c>
      <c r="BH21" s="207" t="str">
        <f>ROUND(DJ20/1000,2)&amp;" kV"</f>
        <v>23.08 kV</v>
      </c>
      <c r="BI21" s="207"/>
      <c r="BJ21" s="207"/>
      <c r="BK21" s="207"/>
      <c r="BL21" s="207"/>
      <c r="BM21" s="207"/>
      <c r="BN21" s="207"/>
      <c r="BO21" s="32"/>
      <c r="BP21" s="208" t="str">
        <f>ROUND(GB21/1000,2)&amp;" kV"</f>
        <v>29.17 kV</v>
      </c>
      <c r="BQ21" s="208"/>
      <c r="BR21" s="208"/>
      <c r="BS21" s="208"/>
      <c r="BT21" s="208"/>
      <c r="BU21" s="208"/>
      <c r="BV21" s="208"/>
      <c r="BW21" s="208"/>
      <c r="BX21" s="142" t="str">
        <f>ROUND(ER21/1000,2)&amp;" kV"</f>
        <v>33.31 kV</v>
      </c>
      <c r="BY21" s="142"/>
      <c r="BZ21" s="142"/>
      <c r="CA21" s="142"/>
      <c r="CB21" s="142"/>
      <c r="CC21" s="142"/>
      <c r="CD21" s="142"/>
      <c r="CE21" s="142"/>
      <c r="CF21" s="9"/>
      <c r="DI21" s="19" t="s">
        <v>43</v>
      </c>
      <c r="DJ21" s="111">
        <f>DJ20/(P24*1000)</f>
        <v>0.66898648828175133</v>
      </c>
      <c r="DK21" s="111"/>
      <c r="DL21" s="111"/>
      <c r="DM21" s="111"/>
      <c r="ED21" s="3" t="s">
        <v>128</v>
      </c>
      <c r="EQ21" s="19" t="s">
        <v>40</v>
      </c>
      <c r="ER21" s="110">
        <f>IMABS(ER20)</f>
        <v>33307.234878556097</v>
      </c>
      <c r="ES21" s="110"/>
      <c r="ET21" s="110"/>
      <c r="EU21" s="110"/>
      <c r="EV21" s="3" t="s">
        <v>9</v>
      </c>
      <c r="EW21" s="93">
        <f>DEGREES(IMARGUMENT(ER20))</f>
        <v>-2.8088898121315196</v>
      </c>
      <c r="EX21" s="93"/>
      <c r="EY21" s="93"/>
      <c r="EZ21" s="1" t="s">
        <v>30</v>
      </c>
      <c r="FG21" s="2"/>
      <c r="FH21" s="2"/>
      <c r="FI21" s="2"/>
      <c r="FL21" s="3"/>
      <c r="FP21" s="3"/>
      <c r="FQ21" s="3"/>
      <c r="FR21" s="3"/>
      <c r="FS21" s="3"/>
      <c r="FT21" s="3"/>
      <c r="FU21" s="3"/>
      <c r="FV21" s="3"/>
      <c r="FW21" s="3"/>
      <c r="FX21" s="3"/>
      <c r="FY21" s="3"/>
      <c r="FZ21" s="3"/>
      <c r="GA21" s="19" t="s">
        <v>40</v>
      </c>
      <c r="GB21" s="110">
        <f>IMABS(GB20)</f>
        <v>29168.112569654782</v>
      </c>
      <c r="GC21" s="110"/>
      <c r="GD21" s="110"/>
      <c r="GE21" s="110"/>
      <c r="GF21" s="3" t="s">
        <v>9</v>
      </c>
      <c r="GG21" s="93">
        <f>DEGREES(IMARGUMENT(GB20))</f>
        <v>-3.7154854132410708</v>
      </c>
      <c r="GH21" s="93"/>
      <c r="GI21" s="93"/>
      <c r="GJ21" s="1" t="s">
        <v>30</v>
      </c>
      <c r="GQ21" s="2"/>
      <c r="GR21" s="2"/>
      <c r="GS21" s="2"/>
      <c r="GV21" s="3"/>
    </row>
    <row r="22" spans="2:207" ht="18" customHeight="1" x14ac:dyDescent="0.3">
      <c r="B22" s="7"/>
      <c r="C22" s="28" t="s">
        <v>42</v>
      </c>
      <c r="D22" s="23"/>
      <c r="E22" s="23"/>
      <c r="F22" s="23"/>
      <c r="G22" s="23"/>
      <c r="H22" s="23"/>
      <c r="I22" s="23"/>
      <c r="K22" s="23"/>
      <c r="L22" s="30"/>
      <c r="U22" s="23"/>
      <c r="V22" s="23"/>
      <c r="W22" s="146" t="s">
        <v>233</v>
      </c>
      <c r="X22" s="104"/>
      <c r="Y22" s="104"/>
      <c r="Z22" s="104"/>
      <c r="AA22" s="104"/>
      <c r="AB22" s="104"/>
      <c r="AC22" s="104"/>
      <c r="AD22" s="104"/>
      <c r="AE22" s="104"/>
      <c r="AF22" s="104"/>
      <c r="AG22" s="104"/>
      <c r="AH22" s="104"/>
      <c r="AI22" s="104"/>
      <c r="AJ22" s="104"/>
      <c r="AK22" s="104"/>
      <c r="AL22" s="104"/>
      <c r="AM22" s="104"/>
      <c r="AN22" s="104"/>
      <c r="AO22" s="104"/>
      <c r="AP22" s="205"/>
      <c r="AR22" s="7"/>
      <c r="BF22" s="19" t="s">
        <v>49</v>
      </c>
      <c r="BH22" s="185">
        <f>DJ21</f>
        <v>0.66898648828175133</v>
      </c>
      <c r="BI22" s="185"/>
      <c r="BJ22" s="185"/>
      <c r="BK22" s="185"/>
      <c r="BL22" s="185"/>
      <c r="BM22" s="185"/>
      <c r="BN22" s="185"/>
      <c r="BO22" s="32"/>
      <c r="BP22" s="126">
        <f>GB22</f>
        <v>0.84545253825086331</v>
      </c>
      <c r="BQ22" s="126"/>
      <c r="BR22" s="126"/>
      <c r="BS22" s="126"/>
      <c r="BT22" s="126"/>
      <c r="BU22" s="126"/>
      <c r="BV22" s="126"/>
      <c r="BW22" s="126"/>
      <c r="BX22" s="127">
        <f>ER22</f>
        <v>0.96542709792916226</v>
      </c>
      <c r="BY22" s="127"/>
      <c r="BZ22" s="127"/>
      <c r="CA22" s="127"/>
      <c r="CB22" s="127"/>
      <c r="CC22" s="127"/>
      <c r="CD22" s="127"/>
      <c r="CE22" s="127"/>
      <c r="CF22" s="9"/>
      <c r="DI22" s="19" t="s">
        <v>44</v>
      </c>
      <c r="DJ22" s="98">
        <f>1-DJ21</f>
        <v>0.33101351171824867</v>
      </c>
      <c r="DK22" s="100"/>
      <c r="DL22" s="100"/>
      <c r="DM22" s="100"/>
      <c r="ED22" s="3" t="s">
        <v>128</v>
      </c>
      <c r="EQ22" s="19" t="s">
        <v>43</v>
      </c>
      <c r="ER22" s="111">
        <f>ER21/(P24*1000)</f>
        <v>0.96542709792916226</v>
      </c>
      <c r="ES22" s="111"/>
      <c r="ET22" s="111"/>
      <c r="EU22" s="111"/>
      <c r="FG22" s="2"/>
      <c r="FH22" s="2"/>
      <c r="FI22" s="2"/>
      <c r="FL22" s="3"/>
      <c r="FP22" s="3"/>
      <c r="FQ22" s="3"/>
      <c r="FR22" s="3"/>
      <c r="FS22" s="3"/>
      <c r="FT22" s="3"/>
      <c r="FU22" s="3"/>
      <c r="FV22" s="3"/>
      <c r="FW22" s="3"/>
      <c r="FX22" s="3"/>
      <c r="FY22" s="3"/>
      <c r="FZ22" s="3"/>
      <c r="GA22" s="19" t="s">
        <v>43</v>
      </c>
      <c r="GB22" s="111">
        <f>GB21/(P24*1000)</f>
        <v>0.84545253825086331</v>
      </c>
      <c r="GC22" s="111"/>
      <c r="GD22" s="111"/>
      <c r="GE22" s="111"/>
      <c r="GQ22" s="2"/>
      <c r="GR22" s="2"/>
      <c r="GS22" s="2"/>
      <c r="GV22" s="3"/>
      <c r="GY22" s="53"/>
    </row>
    <row r="23" spans="2:207" ht="18" customHeight="1" x14ac:dyDescent="0.3">
      <c r="B23" s="7"/>
      <c r="C23" s="106" t="s">
        <v>45</v>
      </c>
      <c r="D23" s="106"/>
      <c r="E23" s="106"/>
      <c r="F23" s="106"/>
      <c r="G23" s="106"/>
      <c r="H23" s="106"/>
      <c r="I23" s="106"/>
      <c r="J23" s="106"/>
      <c r="K23" s="106"/>
      <c r="L23" s="106"/>
      <c r="M23" s="106"/>
      <c r="N23" s="106"/>
      <c r="O23" s="106"/>
      <c r="P23" s="106"/>
      <c r="Q23" s="106"/>
      <c r="R23" s="106"/>
      <c r="S23" s="106"/>
      <c r="T23" s="106"/>
      <c r="U23" s="23"/>
      <c r="V23" s="23"/>
      <c r="W23" s="155"/>
      <c r="X23" s="155"/>
      <c r="Y23" s="155"/>
      <c r="Z23" s="155"/>
      <c r="AA23" s="155"/>
      <c r="AB23" s="155"/>
      <c r="AC23" s="155"/>
      <c r="AD23" s="155"/>
      <c r="AE23" s="155"/>
      <c r="AF23" s="155"/>
      <c r="AG23" s="155"/>
      <c r="AH23" s="155"/>
      <c r="AI23" s="155"/>
      <c r="AJ23" s="155"/>
      <c r="AK23" s="155"/>
      <c r="AL23" s="155"/>
      <c r="AM23" s="155"/>
      <c r="AN23" s="155"/>
      <c r="AO23" s="155"/>
      <c r="AP23" s="206"/>
      <c r="AR23" s="7"/>
      <c r="BF23" s="19" t="s">
        <v>52</v>
      </c>
      <c r="BH23" s="185">
        <f>DJ22</f>
        <v>0.33101351171824867</v>
      </c>
      <c r="BI23" s="185"/>
      <c r="BJ23" s="185"/>
      <c r="BK23" s="185"/>
      <c r="BL23" s="185"/>
      <c r="BM23" s="185"/>
      <c r="BN23" s="185"/>
      <c r="BO23" s="32"/>
      <c r="BP23" s="126">
        <f>GB23</f>
        <v>0.15454746174913669</v>
      </c>
      <c r="BQ23" s="126"/>
      <c r="BR23" s="126"/>
      <c r="BS23" s="126"/>
      <c r="BT23" s="126"/>
      <c r="BU23" s="126"/>
      <c r="BV23" s="126"/>
      <c r="BW23" s="126"/>
      <c r="BX23" s="127">
        <f>ER23</f>
        <v>3.4572902070837741E-2</v>
      </c>
      <c r="BY23" s="127"/>
      <c r="BZ23" s="127"/>
      <c r="CA23" s="127"/>
      <c r="CB23" s="127"/>
      <c r="CC23" s="127"/>
      <c r="CD23" s="127"/>
      <c r="CE23" s="127"/>
      <c r="CF23" s="9"/>
      <c r="ED23" s="3" t="s">
        <v>128</v>
      </c>
      <c r="EQ23" s="19" t="s">
        <v>44</v>
      </c>
      <c r="ER23" s="98">
        <f>1-ER22</f>
        <v>3.4572902070837741E-2</v>
      </c>
      <c r="ES23" s="100"/>
      <c r="ET23" s="100"/>
      <c r="EU23" s="100"/>
      <c r="FG23" s="2"/>
      <c r="FH23" s="2"/>
      <c r="FI23" s="2"/>
      <c r="FL23" s="3"/>
      <c r="FP23" s="3"/>
      <c r="FQ23" s="3"/>
      <c r="FR23" s="3"/>
      <c r="FS23" s="3"/>
      <c r="FT23" s="3"/>
      <c r="FU23" s="3"/>
      <c r="FV23" s="3"/>
      <c r="FW23" s="3"/>
      <c r="FX23" s="3"/>
      <c r="FY23" s="3"/>
      <c r="FZ23" s="3"/>
      <c r="GA23" s="19" t="s">
        <v>44</v>
      </c>
      <c r="GB23" s="98">
        <f>1-GB22</f>
        <v>0.15454746174913669</v>
      </c>
      <c r="GC23" s="100"/>
      <c r="GD23" s="100"/>
      <c r="GE23" s="100"/>
      <c r="GQ23" s="2"/>
      <c r="GR23" s="2"/>
      <c r="GS23" s="2"/>
      <c r="GV23" s="3"/>
      <c r="GY23" s="53"/>
    </row>
    <row r="24" spans="2:207" ht="18" customHeight="1" x14ac:dyDescent="0.25">
      <c r="B24" s="7"/>
      <c r="C24" s="23"/>
      <c r="D24" s="23"/>
      <c r="E24" s="23"/>
      <c r="F24" s="23"/>
      <c r="G24" s="23"/>
      <c r="H24" s="23"/>
      <c r="I24" s="23"/>
      <c r="J24" s="23"/>
      <c r="K24" s="23"/>
      <c r="L24" s="30"/>
      <c r="M24" s="23"/>
      <c r="N24" s="10"/>
      <c r="O24" s="10" t="s">
        <v>47</v>
      </c>
      <c r="P24" s="117">
        <v>34.5</v>
      </c>
      <c r="Q24" s="117"/>
      <c r="R24" s="117"/>
      <c r="S24" s="23" t="s">
        <v>48</v>
      </c>
      <c r="T24" s="23"/>
      <c r="U24" s="23"/>
      <c r="AP24" s="9"/>
      <c r="AR24" s="7"/>
      <c r="BH24" s="76"/>
      <c r="BI24" s="76"/>
      <c r="BJ24" s="76"/>
      <c r="BK24" s="76"/>
      <c r="BL24" s="76"/>
      <c r="BM24" s="76"/>
      <c r="BN24" s="76"/>
      <c r="BO24" s="32"/>
      <c r="BP24" s="20"/>
      <c r="BQ24" s="31"/>
      <c r="BR24" s="14"/>
      <c r="BS24" s="14"/>
      <c r="BT24" s="14"/>
      <c r="BU24" s="31"/>
      <c r="BV24" s="31"/>
      <c r="BW24" s="31"/>
      <c r="BX24" s="75"/>
      <c r="BY24" s="75"/>
      <c r="BZ24" s="77"/>
      <c r="CA24" s="77"/>
      <c r="CB24" s="77"/>
      <c r="CC24" s="75"/>
      <c r="CD24" s="75"/>
      <c r="CE24" s="75"/>
      <c r="CF24" s="9"/>
      <c r="FL24" s="3"/>
      <c r="FP24" s="3"/>
      <c r="FQ24" s="3"/>
      <c r="FR24" s="3"/>
      <c r="FS24" s="3"/>
      <c r="FT24" s="3"/>
      <c r="FU24" s="3"/>
      <c r="FV24" s="3"/>
      <c r="FW24" s="3"/>
      <c r="FX24" s="3"/>
      <c r="FY24" s="3"/>
      <c r="FZ24" s="3"/>
      <c r="GA24" s="3"/>
      <c r="GB24" s="3"/>
      <c r="GV24" s="3"/>
      <c r="GY24" s="53"/>
    </row>
    <row r="25" spans="2:207" ht="18" customHeight="1" x14ac:dyDescent="0.3">
      <c r="B25" s="7"/>
      <c r="M25" s="23"/>
      <c r="N25" s="23"/>
      <c r="O25" s="10" t="s">
        <v>50</v>
      </c>
      <c r="P25" s="117">
        <v>1.2</v>
      </c>
      <c r="Q25" s="117"/>
      <c r="R25" s="117"/>
      <c r="S25" s="23" t="s">
        <v>51</v>
      </c>
      <c r="T25" s="23"/>
      <c r="U25" s="23"/>
      <c r="V25" s="23"/>
      <c r="AP25" s="33"/>
      <c r="AR25" s="7"/>
      <c r="BB25" s="19"/>
      <c r="BC25" s="19"/>
      <c r="BD25" s="19"/>
      <c r="BE25" s="19"/>
      <c r="BF25" s="19" t="str">
        <f>"Voltage at Secondary "&amp;P29&amp;" kV Bus:"</f>
        <v>Voltage at Secondary 12.47 kV Bus:</v>
      </c>
      <c r="BH25" s="190" t="str">
        <f>ROUND(DJ15/1000,2)&amp;" kV"</f>
        <v>7.79 kV</v>
      </c>
      <c r="BI25" s="190"/>
      <c r="BJ25" s="190"/>
      <c r="BK25" s="190"/>
      <c r="BL25" s="190"/>
      <c r="BM25" s="190"/>
      <c r="BN25" s="190"/>
      <c r="BO25" s="63"/>
      <c r="BP25" s="139" t="str">
        <f>ROUND(GB11/1000,2)&amp;" kV"</f>
        <v>10.3 kV</v>
      </c>
      <c r="BQ25" s="139"/>
      <c r="BR25" s="139"/>
      <c r="BS25" s="139"/>
      <c r="BT25" s="139"/>
      <c r="BU25" s="139"/>
      <c r="BV25" s="139"/>
      <c r="BW25" s="139"/>
      <c r="BX25" s="140" t="str">
        <f>ROUND(ER11/1000,2)&amp;" kV"</f>
        <v>11.99 kV</v>
      </c>
      <c r="BY25" s="140"/>
      <c r="BZ25" s="140"/>
      <c r="CA25" s="140"/>
      <c r="CB25" s="140"/>
      <c r="CC25" s="140"/>
      <c r="CD25" s="140"/>
      <c r="CE25" s="140"/>
      <c r="CF25" s="9"/>
      <c r="CI25" s="31" t="s">
        <v>53</v>
      </c>
      <c r="ED25" s="3" t="s">
        <v>128</v>
      </c>
      <c r="EN25" s="17"/>
      <c r="EO25" s="17"/>
      <c r="EP25" s="17"/>
      <c r="EQ25" s="16" t="s">
        <v>19</v>
      </c>
      <c r="ER25" s="156" t="str">
        <f>IMDIV(IMDIV(ER10,IMSUM(CI36,CI40)),"1.73+0i")</f>
        <v>109.52756422831-1207.92543923012i</v>
      </c>
      <c r="ES25" s="156"/>
      <c r="ET25" s="156"/>
      <c r="EU25" s="156"/>
      <c r="EV25" s="156"/>
      <c r="EW25" s="156"/>
      <c r="EX25" s="156"/>
      <c r="EY25" s="156"/>
      <c r="EZ25" s="156"/>
      <c r="FA25" s="156"/>
      <c r="FB25" s="156"/>
      <c r="FC25" s="156"/>
      <c r="FD25" s="156"/>
      <c r="FE25" s="156"/>
      <c r="FF25" s="156"/>
      <c r="FG25" s="156"/>
      <c r="FH25" s="156"/>
      <c r="FI25" s="156"/>
      <c r="FJ25" s="156"/>
      <c r="FK25" s="156"/>
      <c r="FL25" s="3"/>
      <c r="FP25" s="3"/>
      <c r="FQ25" s="3"/>
      <c r="FR25" s="3"/>
      <c r="FS25" s="3"/>
      <c r="FT25" s="3"/>
      <c r="FU25" s="3"/>
      <c r="FV25" s="3"/>
      <c r="FW25" s="3"/>
      <c r="FX25" s="17"/>
      <c r="FY25" s="17"/>
      <c r="FZ25" s="17"/>
      <c r="GA25" s="16" t="s">
        <v>19</v>
      </c>
      <c r="GB25" s="156" t="str">
        <f>IMDIV(IMDIV(GB10,IMSUM(CI36)),"1.73+0i")</f>
        <v>178.894024576512-1442.46873045958i</v>
      </c>
      <c r="GC25" s="156"/>
      <c r="GD25" s="156"/>
      <c r="GE25" s="156"/>
      <c r="GF25" s="156"/>
      <c r="GG25" s="156"/>
      <c r="GH25" s="156"/>
      <c r="GI25" s="156"/>
      <c r="GJ25" s="156"/>
      <c r="GK25" s="156"/>
      <c r="GL25" s="156"/>
      <c r="GM25" s="156"/>
      <c r="GN25" s="156"/>
      <c r="GO25" s="156"/>
      <c r="GP25" s="156"/>
      <c r="GQ25" s="156"/>
      <c r="GR25" s="156"/>
      <c r="GS25" s="156"/>
      <c r="GT25" s="156"/>
      <c r="GU25" s="156"/>
      <c r="GV25" s="3"/>
    </row>
    <row r="26" spans="2:207" ht="18" customHeight="1" x14ac:dyDescent="0.25">
      <c r="B26" s="7"/>
      <c r="C26" s="23"/>
      <c r="K26" s="23"/>
      <c r="L26" s="30"/>
      <c r="M26" s="23"/>
      <c r="N26" s="23"/>
      <c r="O26" s="10" t="s">
        <v>54</v>
      </c>
      <c r="P26" s="117">
        <v>7</v>
      </c>
      <c r="Q26" s="117"/>
      <c r="R26" s="117"/>
      <c r="S26" s="23"/>
      <c r="T26" s="23"/>
      <c r="U26" s="23"/>
      <c r="V26" s="23"/>
      <c r="AP26" s="9"/>
      <c r="AR26" s="7"/>
      <c r="BF26" s="19" t="s">
        <v>49</v>
      </c>
      <c r="BH26" s="185">
        <f>DJ16</f>
        <v>0.62507373099695185</v>
      </c>
      <c r="BI26" s="185"/>
      <c r="BJ26" s="185"/>
      <c r="BK26" s="185"/>
      <c r="BL26" s="185"/>
      <c r="BM26" s="185"/>
      <c r="BN26" s="185"/>
      <c r="BO26" s="32"/>
      <c r="BP26" s="126">
        <f>GB12</f>
        <v>0.82609807313647088</v>
      </c>
      <c r="BQ26" s="126"/>
      <c r="BR26" s="126"/>
      <c r="BS26" s="126"/>
      <c r="BT26" s="126"/>
      <c r="BU26" s="126"/>
      <c r="BV26" s="126"/>
      <c r="BW26" s="126"/>
      <c r="BX26" s="127">
        <f>ER12</f>
        <v>0.96169973490241467</v>
      </c>
      <c r="BY26" s="127"/>
      <c r="BZ26" s="127"/>
      <c r="CA26" s="127"/>
      <c r="CB26" s="127"/>
      <c r="CC26" s="127"/>
      <c r="CD26" s="127"/>
      <c r="CE26" s="127"/>
      <c r="CF26" s="34"/>
      <c r="CI26" s="1" t="s">
        <v>55</v>
      </c>
      <c r="CJ26" s="100">
        <f>COS(ATAN(P26))*(((P24/1.73)/P25)*(P29/P24)^2)</f>
        <v>0.30704459766722847</v>
      </c>
      <c r="CK26" s="100"/>
      <c r="CL26" s="100"/>
      <c r="CM26" s="100"/>
      <c r="CN26" s="100"/>
      <c r="CO26" s="100"/>
      <c r="CP26" s="100"/>
      <c r="CQ26" s="100"/>
      <c r="CR26" s="100"/>
      <c r="CS26" s="100"/>
      <c r="CT26" s="100"/>
      <c r="CU26" s="100"/>
      <c r="CV26" s="100"/>
      <c r="CW26" s="100"/>
      <c r="CX26" s="100"/>
      <c r="CY26" s="100"/>
      <c r="CZ26" s="100"/>
      <c r="DA26" s="100"/>
      <c r="DB26" s="100"/>
      <c r="DC26" s="100"/>
      <c r="DE26" s="1" t="s">
        <v>56</v>
      </c>
      <c r="DJ26" s="100">
        <f>IMABS(CI28)</f>
        <v>2.1711331713719253</v>
      </c>
      <c r="DK26" s="100"/>
      <c r="DL26" s="100"/>
      <c r="DM26" s="100"/>
      <c r="DN26" s="1" t="s">
        <v>9</v>
      </c>
      <c r="DO26" s="100">
        <f>DEGREES(IMARGUMENT(CI28))</f>
        <v>81.869897645844034</v>
      </c>
      <c r="DP26" s="100"/>
      <c r="DQ26" s="100"/>
      <c r="DR26" s="1" t="s">
        <v>56</v>
      </c>
      <c r="ED26" s="3" t="s">
        <v>128</v>
      </c>
      <c r="EQ26" s="26" t="s">
        <v>19</v>
      </c>
      <c r="ER26" s="94">
        <f>IMABS(ER25)</f>
        <v>1212.8809315283445</v>
      </c>
      <c r="ES26" s="94"/>
      <c r="ET26" s="94"/>
      <c r="EU26" s="94"/>
      <c r="EV26" s="1" t="s">
        <v>9</v>
      </c>
      <c r="EW26" s="100">
        <f>DEGREES(IMARGUMENT(ER25))</f>
        <v>-84.8189244296873</v>
      </c>
      <c r="EX26" s="100"/>
      <c r="EY26" s="100"/>
      <c r="EZ26" s="100"/>
      <c r="FA26" s="1" t="s">
        <v>10</v>
      </c>
      <c r="FP26" s="3"/>
      <c r="FQ26" s="3"/>
      <c r="FR26" s="3"/>
      <c r="FS26" s="3"/>
      <c r="FT26" s="3"/>
      <c r="FU26" s="3"/>
      <c r="FV26" s="3"/>
      <c r="FW26" s="3"/>
      <c r="FX26" s="3"/>
      <c r="FY26" s="3"/>
      <c r="FZ26" s="3"/>
      <c r="GA26" s="26" t="s">
        <v>19</v>
      </c>
      <c r="GB26" s="94">
        <f>IMABS(GB25)</f>
        <v>1453.5195596836165</v>
      </c>
      <c r="GC26" s="94"/>
      <c r="GD26" s="94"/>
      <c r="GE26" s="94"/>
      <c r="GF26" s="1" t="s">
        <v>9</v>
      </c>
      <c r="GG26" s="100">
        <f>DEGREES(IMARGUMENT(GB25))</f>
        <v>-82.930313383268199</v>
      </c>
      <c r="GH26" s="100"/>
      <c r="GI26" s="100"/>
      <c r="GJ26" s="100"/>
      <c r="GK26" s="1" t="s">
        <v>10</v>
      </c>
    </row>
    <row r="27" spans="2:207" ht="18" customHeight="1" x14ac:dyDescent="0.3">
      <c r="B27" s="7"/>
      <c r="C27" s="106" t="s">
        <v>57</v>
      </c>
      <c r="D27" s="106"/>
      <c r="E27" s="106"/>
      <c r="F27" s="106"/>
      <c r="G27" s="106"/>
      <c r="H27" s="106"/>
      <c r="I27" s="106"/>
      <c r="J27" s="106"/>
      <c r="K27" s="106"/>
      <c r="L27" s="106"/>
      <c r="M27" s="106"/>
      <c r="N27" s="106"/>
      <c r="O27" s="106"/>
      <c r="P27" s="106"/>
      <c r="Q27" s="106"/>
      <c r="R27" s="106"/>
      <c r="S27" s="106"/>
      <c r="T27" s="106"/>
      <c r="U27" s="23"/>
      <c r="V27" s="23"/>
      <c r="AP27" s="9"/>
      <c r="AR27" s="7"/>
      <c r="BB27" s="19"/>
      <c r="BC27" s="19"/>
      <c r="BD27" s="19"/>
      <c r="BE27" s="19"/>
      <c r="BF27" s="19" t="s">
        <v>52</v>
      </c>
      <c r="BH27" s="185">
        <f>DJ17</f>
        <v>0.37492626900304815</v>
      </c>
      <c r="BI27" s="185"/>
      <c r="BJ27" s="185"/>
      <c r="BK27" s="185"/>
      <c r="BL27" s="185"/>
      <c r="BM27" s="185"/>
      <c r="BN27" s="185"/>
      <c r="BO27" s="32"/>
      <c r="BP27" s="126">
        <f>GB13</f>
        <v>0.17390192686352912</v>
      </c>
      <c r="BQ27" s="126"/>
      <c r="BR27" s="126"/>
      <c r="BS27" s="126"/>
      <c r="BT27" s="126"/>
      <c r="BU27" s="126"/>
      <c r="BV27" s="126"/>
      <c r="BW27" s="126"/>
      <c r="BX27" s="127">
        <f>ER13</f>
        <v>3.8300265097585329E-2</v>
      </c>
      <c r="BY27" s="127"/>
      <c r="BZ27" s="127"/>
      <c r="CA27" s="127"/>
      <c r="CB27" s="127"/>
      <c r="CC27" s="127"/>
      <c r="CD27" s="127"/>
      <c r="CE27" s="127"/>
      <c r="CF27" s="9"/>
      <c r="CI27" s="1" t="s">
        <v>58</v>
      </c>
      <c r="CJ27" s="100">
        <f>SIN(ATAN(P26))*((P24/1.73)/P25)*(P29/P24)^2</f>
        <v>2.1493121836706002</v>
      </c>
      <c r="CK27" s="100"/>
      <c r="CL27" s="100"/>
      <c r="CM27" s="100"/>
      <c r="CN27" s="100"/>
      <c r="CO27" s="100"/>
      <c r="CP27" s="100"/>
      <c r="CQ27" s="100"/>
      <c r="CR27" s="100"/>
      <c r="CS27" s="100"/>
      <c r="CT27" s="100"/>
      <c r="CU27" s="100"/>
      <c r="CV27" s="100"/>
      <c r="CW27" s="100"/>
      <c r="CX27" s="100"/>
      <c r="CY27" s="100"/>
      <c r="CZ27" s="100"/>
      <c r="DA27" s="100"/>
      <c r="DB27" s="100"/>
      <c r="DC27" s="100"/>
      <c r="DE27" s="1" t="s">
        <v>56</v>
      </c>
      <c r="ED27" s="3" t="s">
        <v>128</v>
      </c>
      <c r="EQ27" s="19" t="s">
        <v>15</v>
      </c>
      <c r="ER27" s="111">
        <f>ER26/P38</f>
        <v>3.4466636303732439</v>
      </c>
      <c r="ES27" s="111"/>
      <c r="ET27" s="111"/>
      <c r="EU27" s="111"/>
      <c r="FP27" s="3"/>
      <c r="FQ27" s="3"/>
      <c r="FR27" s="3"/>
      <c r="FS27" s="3"/>
      <c r="FT27" s="3"/>
      <c r="FU27" s="3"/>
      <c r="FV27" s="3"/>
      <c r="FW27" s="3"/>
      <c r="FX27" s="3"/>
      <c r="FY27" s="3"/>
      <c r="FZ27" s="3"/>
      <c r="GA27" s="19" t="s">
        <v>15</v>
      </c>
      <c r="GB27" s="111">
        <f>GB26/P38</f>
        <v>4.1304903656823431</v>
      </c>
      <c r="GC27" s="111"/>
      <c r="GD27" s="111"/>
      <c r="GE27" s="111"/>
    </row>
    <row r="28" spans="2:207" ht="18" customHeight="1" x14ac:dyDescent="0.25">
      <c r="B28" s="7"/>
      <c r="N28" s="10"/>
      <c r="O28" s="10" t="s">
        <v>59</v>
      </c>
      <c r="P28" s="117">
        <v>40</v>
      </c>
      <c r="Q28" s="117"/>
      <c r="R28" s="117"/>
      <c r="S28" s="23" t="s">
        <v>60</v>
      </c>
      <c r="T28" s="23"/>
      <c r="U28" s="23"/>
      <c r="V28" s="23"/>
      <c r="W28" s="23"/>
      <c r="AP28" s="9"/>
      <c r="AR28" s="7"/>
      <c r="BH28" s="76"/>
      <c r="BI28" s="76"/>
      <c r="BJ28" s="76"/>
      <c r="BK28" s="76"/>
      <c r="BL28" s="76"/>
      <c r="BM28" s="76"/>
      <c r="BN28" s="76"/>
      <c r="BO28" s="32"/>
      <c r="BP28" s="20"/>
      <c r="BQ28" s="31"/>
      <c r="BR28" s="20"/>
      <c r="BS28" s="20"/>
      <c r="BT28" s="31"/>
      <c r="BU28" s="31"/>
      <c r="BV28" s="31"/>
      <c r="BW28" s="31"/>
      <c r="BX28" s="75"/>
      <c r="BY28" s="75"/>
      <c r="BZ28" s="75"/>
      <c r="CA28" s="75"/>
      <c r="CB28" s="75"/>
      <c r="CC28" s="75"/>
      <c r="CD28" s="75"/>
      <c r="CE28" s="75"/>
      <c r="CF28" s="9"/>
      <c r="CI28" s="118" t="str">
        <f>COMPLEX(CJ26,CJ27)</f>
        <v>0.307044597667228+2.1493121836706i</v>
      </c>
      <c r="CJ28" s="118"/>
      <c r="CK28" s="118"/>
      <c r="CL28" s="118"/>
      <c r="CM28" s="118"/>
      <c r="CN28" s="118"/>
      <c r="CO28" s="118"/>
      <c r="CP28" s="118"/>
      <c r="CQ28" s="118"/>
      <c r="CR28" s="118"/>
      <c r="CS28" s="118"/>
      <c r="CT28" s="118"/>
      <c r="CU28" s="118"/>
      <c r="CV28" s="118"/>
      <c r="CW28" s="118"/>
      <c r="CX28" s="118"/>
      <c r="CY28" s="118"/>
      <c r="CZ28" s="118"/>
      <c r="DA28" s="118"/>
      <c r="DB28" s="118"/>
      <c r="DC28" s="118"/>
      <c r="DD28" s="118"/>
      <c r="DE28" s="118"/>
      <c r="DF28" s="118"/>
      <c r="DG28" s="118"/>
      <c r="DH28" s="118"/>
      <c r="DI28" s="118"/>
      <c r="DJ28" s="118"/>
      <c r="DK28" s="118"/>
      <c r="DL28" s="15"/>
      <c r="DM28" s="15" t="s">
        <v>56</v>
      </c>
      <c r="DN28" s="15"/>
      <c r="DO28" s="15"/>
      <c r="ED28" s="3" t="s">
        <v>128</v>
      </c>
      <c r="EQ28" s="19" t="s">
        <v>33</v>
      </c>
      <c r="ER28" s="111">
        <f>(ER27/(P41/100))^2</f>
        <v>0.4751796072375068</v>
      </c>
      <c r="ES28" s="111"/>
      <c r="ET28" s="111"/>
      <c r="EU28" s="111"/>
      <c r="FP28" s="3"/>
      <c r="FQ28" s="3"/>
      <c r="FR28" s="3"/>
      <c r="FS28" s="3"/>
      <c r="FT28" s="3"/>
      <c r="FU28" s="3"/>
      <c r="FV28" s="3"/>
      <c r="FW28" s="3"/>
      <c r="FX28" s="3"/>
      <c r="FY28" s="3"/>
      <c r="FZ28" s="3"/>
      <c r="GA28" s="19" t="s">
        <v>33</v>
      </c>
      <c r="GB28" s="111">
        <f>(GB27/(P41/100))^2</f>
        <v>0.68243802643978635</v>
      </c>
      <c r="GC28" s="111"/>
      <c r="GD28" s="111"/>
      <c r="GE28" s="111"/>
    </row>
    <row r="29" spans="2:207" ht="18" x14ac:dyDescent="0.35">
      <c r="B29" s="7"/>
      <c r="O29" s="19" t="s">
        <v>61</v>
      </c>
      <c r="P29" s="117">
        <v>12.47</v>
      </c>
      <c r="Q29" s="117"/>
      <c r="R29" s="117"/>
      <c r="S29" s="23" t="s">
        <v>48</v>
      </c>
      <c r="U29" s="23"/>
      <c r="V29" s="23"/>
      <c r="W29" s="23"/>
      <c r="AJ29" s="1" t="str">
        <f>"Isc: "&amp;P25&amp;"kA"</f>
        <v>Isc: 1.2kA</v>
      </c>
      <c r="AP29" s="9"/>
      <c r="AR29" s="7"/>
      <c r="BF29" s="19" t="str">
        <f>"Starting Current Seen by "&amp;P24&amp;" kV System:"</f>
        <v>Starting Current Seen by 34.5 kV System:</v>
      </c>
      <c r="BH29" s="191" t="str">
        <f>ROUND(DJ8/DJ18,0)&amp;" amps"</f>
        <v>398 amps</v>
      </c>
      <c r="BI29" s="191"/>
      <c r="BJ29" s="191"/>
      <c r="BK29" s="191"/>
      <c r="BL29" s="191"/>
      <c r="BM29" s="191"/>
      <c r="BN29" s="191"/>
      <c r="BO29" s="32"/>
      <c r="BP29" s="132" t="str">
        <f>ROUND(GB8/DJ18,0)&amp;" amps"</f>
        <v>199 amps</v>
      </c>
      <c r="BQ29" s="132"/>
      <c r="BR29" s="132"/>
      <c r="BS29" s="132"/>
      <c r="BT29" s="132"/>
      <c r="BU29" s="132"/>
      <c r="BV29" s="132"/>
      <c r="BW29" s="132"/>
      <c r="BX29" s="209" t="str">
        <f>ROUND(ER8/DJ18,0)&amp;" amps"</f>
        <v>71 amps</v>
      </c>
      <c r="BY29" s="209"/>
      <c r="BZ29" s="209"/>
      <c r="CA29" s="209"/>
      <c r="CB29" s="209"/>
      <c r="CC29" s="209"/>
      <c r="CD29" s="209"/>
      <c r="CE29" s="209"/>
      <c r="CF29" s="9"/>
      <c r="CI29" s="31" t="s">
        <v>62</v>
      </c>
    </row>
    <row r="30" spans="2:207" ht="18" customHeight="1" x14ac:dyDescent="0.25">
      <c r="B30" s="7"/>
      <c r="C30" s="23"/>
      <c r="D30" s="23"/>
      <c r="E30" s="23"/>
      <c r="F30" s="23"/>
      <c r="G30" s="23"/>
      <c r="H30" s="23"/>
      <c r="I30" s="23"/>
      <c r="J30" s="23"/>
      <c r="K30" s="23"/>
      <c r="L30" s="30"/>
      <c r="M30" s="23"/>
      <c r="N30" s="23"/>
      <c r="O30" s="10" t="s">
        <v>63</v>
      </c>
      <c r="P30" s="117">
        <v>7.5</v>
      </c>
      <c r="Q30" s="117"/>
      <c r="R30" s="117"/>
      <c r="S30" s="23" t="s">
        <v>64</v>
      </c>
      <c r="T30" s="23"/>
      <c r="U30" s="23"/>
      <c r="V30" s="23"/>
      <c r="W30" s="23"/>
      <c r="AA30" s="19" t="str">
        <f>P24&amp;"kV Bus"</f>
        <v>34.5kV Bus</v>
      </c>
      <c r="AJ30" s="1" t="str">
        <f>"X/R: "&amp;P26</f>
        <v>X/R: 7</v>
      </c>
      <c r="AP30" s="9"/>
      <c r="AR30" s="7"/>
      <c r="BF30" s="19" t="str">
        <f>"Starting Current Seen by "&amp;P29&amp;" kV System:"</f>
        <v>Starting Current Seen by 12.47 kV System:</v>
      </c>
      <c r="BH30" s="191" t="str">
        <f>ROUND(DJ8,0)&amp;" amps"</f>
        <v>1100 amps</v>
      </c>
      <c r="BI30" s="191"/>
      <c r="BJ30" s="191"/>
      <c r="BK30" s="191"/>
      <c r="BL30" s="191"/>
      <c r="BM30" s="191"/>
      <c r="BN30" s="191"/>
      <c r="BO30" s="32"/>
      <c r="BP30" s="132" t="str">
        <f>ROUND(GB8,0)&amp;" amps"</f>
        <v>550 amps</v>
      </c>
      <c r="BQ30" s="132"/>
      <c r="BR30" s="132"/>
      <c r="BS30" s="132"/>
      <c r="BT30" s="132"/>
      <c r="BU30" s="132"/>
      <c r="BV30" s="132"/>
      <c r="BW30" s="132"/>
      <c r="BX30" s="209" t="str">
        <f>ROUND(ER8,0)&amp;" amps"</f>
        <v>197 amps</v>
      </c>
      <c r="BY30" s="209"/>
      <c r="BZ30" s="209"/>
      <c r="CA30" s="209"/>
      <c r="CB30" s="209"/>
      <c r="CC30" s="209"/>
      <c r="CD30" s="209"/>
      <c r="CE30" s="209"/>
      <c r="CF30" s="9"/>
      <c r="CI30" s="1" t="s">
        <v>55</v>
      </c>
      <c r="CJ30" s="109">
        <f>COS(ATAN(P31))*((P29^2)/P28)*(P30/100)</f>
        <v>1.0170567005981216E-2</v>
      </c>
      <c r="CK30" s="109"/>
      <c r="CL30" s="109"/>
      <c r="CM30" s="109"/>
      <c r="CN30" s="109"/>
      <c r="CO30" s="109"/>
      <c r="CP30" s="109"/>
      <c r="CQ30" s="109"/>
      <c r="CR30" s="109"/>
      <c r="CS30" s="109"/>
      <c r="CT30" s="109"/>
      <c r="CU30" s="109"/>
      <c r="CV30" s="109"/>
      <c r="CW30" s="109"/>
      <c r="CX30" s="109"/>
      <c r="CY30" s="109"/>
      <c r="CZ30" s="109"/>
      <c r="DA30" s="109"/>
      <c r="DB30" s="109"/>
      <c r="DC30" s="109"/>
      <c r="DE30" s="1" t="s">
        <v>56</v>
      </c>
      <c r="DJ30" s="100">
        <f>IMABS(CI32)</f>
        <v>0.29156418750000029</v>
      </c>
      <c r="DK30" s="100"/>
      <c r="DL30" s="100"/>
      <c r="DM30" s="100"/>
      <c r="DN30" s="1" t="s">
        <v>9</v>
      </c>
      <c r="DO30" s="100">
        <f>DEGREES(IMARGUMENT(CI32))</f>
        <v>88.000958852439268</v>
      </c>
      <c r="DP30" s="100"/>
      <c r="DQ30" s="100"/>
      <c r="DR30" s="1" t="s">
        <v>56</v>
      </c>
    </row>
    <row r="31" spans="2:207" ht="18" customHeight="1" x14ac:dyDescent="0.25">
      <c r="B31" s="7"/>
      <c r="J31" s="23"/>
      <c r="K31" s="23"/>
      <c r="L31" s="30"/>
      <c r="M31" s="23"/>
      <c r="N31" s="23"/>
      <c r="O31" s="10" t="s">
        <v>54</v>
      </c>
      <c r="P31" s="117">
        <v>28.65</v>
      </c>
      <c r="Q31" s="117"/>
      <c r="R31" s="117"/>
      <c r="S31" s="23"/>
      <c r="T31" s="23"/>
      <c r="U31" s="23"/>
      <c r="V31" s="23"/>
      <c r="W31" s="23"/>
      <c r="AF31" s="1" t="str">
        <f>P28&amp;" MVA"</f>
        <v>40 MVA</v>
      </c>
      <c r="AP31" s="9"/>
      <c r="AR31" s="7"/>
      <c r="CF31" s="9"/>
      <c r="CI31" s="1" t="s">
        <v>58</v>
      </c>
      <c r="CJ31" s="100">
        <f>SIN(ATAN(P31))*((P29^2)/P28)*(P30/100)</f>
        <v>0.29138674472136172</v>
      </c>
      <c r="CK31" s="100"/>
      <c r="CL31" s="100"/>
      <c r="CM31" s="100"/>
      <c r="CN31" s="100"/>
      <c r="CO31" s="100"/>
      <c r="CP31" s="100"/>
      <c r="CQ31" s="100"/>
      <c r="CR31" s="100"/>
      <c r="CS31" s="100"/>
      <c r="CT31" s="100"/>
      <c r="CU31" s="100"/>
      <c r="CV31" s="100"/>
      <c r="CW31" s="100"/>
      <c r="CX31" s="100"/>
      <c r="CY31" s="100"/>
      <c r="CZ31" s="100"/>
      <c r="DA31" s="100"/>
      <c r="DB31" s="100"/>
      <c r="DC31" s="100"/>
      <c r="DE31" s="1" t="s">
        <v>56</v>
      </c>
    </row>
    <row r="32" spans="2:207" ht="18" customHeight="1" x14ac:dyDescent="0.3">
      <c r="B32" s="7"/>
      <c r="C32" s="106" t="s">
        <v>129</v>
      </c>
      <c r="D32" s="106"/>
      <c r="E32" s="106"/>
      <c r="F32" s="106"/>
      <c r="G32" s="106"/>
      <c r="H32" s="106"/>
      <c r="I32" s="106"/>
      <c r="J32" s="106"/>
      <c r="K32" s="106"/>
      <c r="L32" s="106"/>
      <c r="M32" s="106"/>
      <c r="N32" s="106"/>
      <c r="O32" s="106"/>
      <c r="P32" s="106"/>
      <c r="Q32" s="106"/>
      <c r="R32" s="106"/>
      <c r="S32" s="106"/>
      <c r="T32" s="106"/>
      <c r="U32" s="23"/>
      <c r="V32" s="23"/>
      <c r="W32" s="23"/>
      <c r="AF32" s="74" t="str">
        <f>P30&amp;"%"</f>
        <v>7.5%</v>
      </c>
      <c r="AP32" s="9"/>
      <c r="AR32" s="7"/>
      <c r="BF32" s="19" t="s">
        <v>182</v>
      </c>
      <c r="BH32" s="185">
        <f>DJ9</f>
        <v>3.1253686549847539</v>
      </c>
      <c r="BI32" s="185"/>
      <c r="BJ32" s="185"/>
      <c r="BK32" s="185"/>
      <c r="BL32" s="185"/>
      <c r="BM32" s="185"/>
      <c r="BN32" s="185"/>
      <c r="BO32" s="32"/>
      <c r="BP32" s="126">
        <f>GB9</f>
        <v>1.5627822337571433</v>
      </c>
      <c r="BQ32" s="126"/>
      <c r="BR32" s="126"/>
      <c r="BS32" s="126"/>
      <c r="BT32" s="126"/>
      <c r="BU32" s="126"/>
      <c r="BV32" s="126"/>
      <c r="BW32" s="126"/>
      <c r="BX32" s="127">
        <f>ER9</f>
        <v>0.55935121169767221</v>
      </c>
      <c r="BY32" s="127"/>
      <c r="BZ32" s="127"/>
      <c r="CA32" s="127"/>
      <c r="CB32" s="127"/>
      <c r="CC32" s="127"/>
      <c r="CD32" s="127"/>
      <c r="CE32" s="127"/>
      <c r="CF32" s="9"/>
      <c r="CI32" s="118" t="str">
        <f>COMPLEX(CJ30,CJ31)</f>
        <v>0.0101705670059812+0.291386744721362i</v>
      </c>
      <c r="CJ32" s="118"/>
      <c r="CK32" s="118"/>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5"/>
      <c r="DM32" s="15" t="s">
        <v>56</v>
      </c>
      <c r="DN32" s="15"/>
      <c r="EC32" s="1" t="s">
        <v>219</v>
      </c>
    </row>
    <row r="33" spans="2:147" ht="18" customHeight="1" x14ac:dyDescent="0.25">
      <c r="B33" s="7"/>
      <c r="D33" s="23"/>
      <c r="E33" s="23"/>
      <c r="F33" s="23"/>
      <c r="G33" s="23"/>
      <c r="H33" s="23"/>
      <c r="I33" s="23"/>
      <c r="J33" s="23"/>
      <c r="K33" s="23"/>
      <c r="L33" s="30"/>
      <c r="M33" s="23"/>
      <c r="N33" s="23"/>
      <c r="O33" s="10" t="s">
        <v>130</v>
      </c>
      <c r="P33" s="117">
        <v>1.64</v>
      </c>
      <c r="Q33" s="117"/>
      <c r="R33" s="117"/>
      <c r="S33" s="23" t="s">
        <v>113</v>
      </c>
      <c r="T33" s="23"/>
      <c r="V33" s="23"/>
      <c r="W33" s="23"/>
      <c r="AA33" s="19" t="str">
        <f>P29&amp;"kV Bus"</f>
        <v>12.47kV Bus</v>
      </c>
      <c r="AP33" s="9"/>
      <c r="AR33" s="7"/>
      <c r="AS33" s="121" t="str">
        <f>"Voltage change per stage at the "&amp;P29&amp;" kV Bus:"</f>
        <v>Voltage change per stage at the 12.47 kV Bus:</v>
      </c>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c r="BS33" s="122" t="str">
        <f>"±"&amp;ROUND((100*P45/P46)/DL57/2,2)&amp;"%"</f>
        <v>±4.95%</v>
      </c>
      <c r="BT33" s="122"/>
      <c r="BU33" s="122"/>
      <c r="BV33" s="122"/>
      <c r="BW33" s="122"/>
      <c r="BX33" s="122"/>
      <c r="BY33" s="122"/>
      <c r="BZ33" s="122"/>
      <c r="CA33" s="122"/>
      <c r="CF33" s="9"/>
      <c r="CI33" s="31" t="s">
        <v>67</v>
      </c>
      <c r="EC33" s="1" t="s">
        <v>221</v>
      </c>
      <c r="ED33" s="1"/>
      <c r="EE33" s="1"/>
      <c r="EF33" s="1"/>
      <c r="EG33" s="1"/>
      <c r="EK33" s="200">
        <v>0</v>
      </c>
      <c r="EL33" s="200"/>
      <c r="EM33" s="200"/>
      <c r="EN33" s="200"/>
      <c r="EO33" s="3" t="s">
        <v>10</v>
      </c>
    </row>
    <row r="34" spans="2:147" ht="18" customHeight="1" x14ac:dyDescent="0.25">
      <c r="B34" s="7"/>
      <c r="J34" s="23"/>
      <c r="K34" s="23"/>
      <c r="L34" s="30"/>
      <c r="M34" s="23"/>
      <c r="N34" s="23"/>
      <c r="O34" s="10" t="s">
        <v>54</v>
      </c>
      <c r="P34" s="117">
        <v>100</v>
      </c>
      <c r="Q34" s="117"/>
      <c r="R34" s="117"/>
      <c r="S34" s="23"/>
      <c r="T34" s="23"/>
      <c r="V34" s="23"/>
      <c r="W34" s="23"/>
      <c r="AP34" s="9"/>
      <c r="AR34" s="7"/>
      <c r="AT34" s="72" t="s">
        <v>201</v>
      </c>
      <c r="CF34" s="9"/>
      <c r="CI34" s="1" t="s">
        <v>55</v>
      </c>
      <c r="CJ34" s="100">
        <f>COS(ACOS(P42/100))*(((1000*P36/1.73))/P38)/(P41/100)</f>
        <v>0.81933418420564252</v>
      </c>
      <c r="CK34" s="100"/>
      <c r="CL34" s="100"/>
      <c r="CM34" s="100"/>
      <c r="CN34" s="100"/>
      <c r="CO34" s="100"/>
      <c r="CP34" s="100"/>
      <c r="CQ34" s="100"/>
      <c r="CR34" s="100"/>
      <c r="CS34" s="100"/>
      <c r="CT34" s="100"/>
      <c r="CU34" s="100"/>
      <c r="CV34" s="100"/>
      <c r="CW34" s="100"/>
      <c r="CX34" s="100"/>
      <c r="CY34" s="100"/>
      <c r="CZ34" s="100"/>
      <c r="DA34" s="100"/>
      <c r="DB34" s="100"/>
      <c r="DC34" s="100"/>
      <c r="DE34" s="1" t="s">
        <v>56</v>
      </c>
      <c r="DJ34" s="100">
        <f>IMABS(CI36)</f>
        <v>4.0966709210282142</v>
      </c>
      <c r="DK34" s="100"/>
      <c r="DL34" s="100"/>
      <c r="DM34" s="100"/>
      <c r="DN34" s="1" t="s">
        <v>9</v>
      </c>
      <c r="DO34" s="100">
        <f>DEGREES(IMARGUMENT(CI36))</f>
        <v>78.463040967184511</v>
      </c>
      <c r="DP34" s="100"/>
      <c r="DQ34" s="100"/>
      <c r="DR34" s="1" t="s">
        <v>56</v>
      </c>
      <c r="EC34" s="1" t="s">
        <v>220</v>
      </c>
      <c r="EK34" s="201">
        <f>-GB11/(CJ43*1.73)</f>
        <v>957.32425235185337</v>
      </c>
      <c r="EL34" s="201"/>
      <c r="EM34" s="201"/>
      <c r="EN34" s="201"/>
      <c r="EO34" s="3" t="s">
        <v>10</v>
      </c>
    </row>
    <row r="35" spans="2:147" ht="18" customHeight="1" x14ac:dyDescent="0.3">
      <c r="B35" s="7"/>
      <c r="C35" s="106" t="s">
        <v>65</v>
      </c>
      <c r="D35" s="106"/>
      <c r="E35" s="106"/>
      <c r="F35" s="106"/>
      <c r="G35" s="106"/>
      <c r="H35" s="106"/>
      <c r="I35" s="106"/>
      <c r="J35" s="106"/>
      <c r="K35" s="106"/>
      <c r="L35" s="106"/>
      <c r="M35" s="106"/>
      <c r="N35" s="106"/>
      <c r="O35" s="106"/>
      <c r="P35" s="106"/>
      <c r="Q35" s="106"/>
      <c r="R35" s="106"/>
      <c r="S35" s="106"/>
      <c r="T35" s="106"/>
      <c r="V35" s="23"/>
      <c r="W35" s="23"/>
      <c r="AP35" s="9"/>
      <c r="AR35" s="7"/>
      <c r="AT35" s="73" t="s">
        <v>243</v>
      </c>
      <c r="CF35" s="9"/>
      <c r="CI35" s="1" t="s">
        <v>58</v>
      </c>
      <c r="CJ35" s="100">
        <f>SIN(ACOS(P42/100))*(((1000*P36/1.73))/P38)/(P41/100)</f>
        <v>4.0139013602466855</v>
      </c>
      <c r="CK35" s="100"/>
      <c r="CL35" s="100"/>
      <c r="CM35" s="100"/>
      <c r="CN35" s="100"/>
      <c r="CO35" s="100"/>
      <c r="CP35" s="100"/>
      <c r="CQ35" s="100"/>
      <c r="CR35" s="100"/>
      <c r="CS35" s="100"/>
      <c r="CT35" s="100"/>
      <c r="CU35" s="100"/>
      <c r="CV35" s="100"/>
      <c r="CW35" s="100"/>
      <c r="CX35" s="100"/>
      <c r="CY35" s="100"/>
      <c r="CZ35" s="100"/>
      <c r="DA35" s="100"/>
      <c r="DB35" s="100"/>
      <c r="DC35" s="100"/>
      <c r="DE35" s="1" t="s">
        <v>56</v>
      </c>
      <c r="DX35" s="35"/>
      <c r="DY35" s="36"/>
      <c r="DZ35" s="36"/>
      <c r="EA35" s="37"/>
      <c r="EC35" s="1" t="s">
        <v>222</v>
      </c>
      <c r="EK35" s="140">
        <f>-ER11/(CJ43*1.73)</f>
        <v>1114.466320211762</v>
      </c>
      <c r="EL35" s="140"/>
      <c r="EM35" s="140"/>
      <c r="EN35" s="140"/>
      <c r="EO35" s="3" t="s">
        <v>10</v>
      </c>
    </row>
    <row r="36" spans="2:147" ht="18" customHeight="1" x14ac:dyDescent="0.25">
      <c r="B36" s="7"/>
      <c r="C36" s="23"/>
      <c r="K36" s="23"/>
      <c r="L36" s="30"/>
      <c r="M36" s="23"/>
      <c r="N36" s="10"/>
      <c r="O36" s="10" t="s">
        <v>66</v>
      </c>
      <c r="P36" s="117">
        <v>12.47</v>
      </c>
      <c r="Q36" s="117"/>
      <c r="R36" s="117"/>
      <c r="S36" s="23" t="s">
        <v>48</v>
      </c>
      <c r="T36" s="23"/>
      <c r="V36" s="23"/>
      <c r="W36" s="23"/>
      <c r="AL36" s="1" t="str">
        <f>ROUND(P33,2)&amp;" ohms"</f>
        <v>1.64 ohms</v>
      </c>
      <c r="AP36" s="9"/>
      <c r="AR36" s="7"/>
      <c r="AT36" s="73" t="s">
        <v>202</v>
      </c>
      <c r="CF36" s="9"/>
      <c r="CI36" s="118" t="str">
        <f>COMPLEX(CJ34,CJ35)</f>
        <v>0.819334184205643+4.01390136024669i</v>
      </c>
      <c r="CJ36" s="118"/>
      <c r="CK36" s="118"/>
      <c r="CL36" s="118"/>
      <c r="CM36" s="118"/>
      <c r="CN36" s="118"/>
      <c r="CO36" s="118"/>
      <c r="CP36" s="118"/>
      <c r="CQ36" s="118"/>
      <c r="CR36" s="118"/>
      <c r="CS36" s="118"/>
      <c r="CT36" s="118"/>
      <c r="CU36" s="118"/>
      <c r="CV36" s="118"/>
      <c r="CW36" s="118"/>
      <c r="CX36" s="118"/>
      <c r="CY36" s="118"/>
      <c r="CZ36" s="118"/>
      <c r="DA36" s="118"/>
      <c r="DB36" s="118"/>
      <c r="DC36" s="118"/>
      <c r="DD36" s="118"/>
      <c r="DE36" s="118"/>
      <c r="DF36" s="118"/>
      <c r="DG36" s="118"/>
      <c r="DH36" s="118"/>
      <c r="DI36" s="118"/>
      <c r="DJ36" s="118"/>
      <c r="DK36" s="118"/>
      <c r="DL36" s="15"/>
      <c r="DM36" s="15" t="s">
        <v>56</v>
      </c>
      <c r="DN36" s="15"/>
      <c r="DX36" s="35"/>
      <c r="DY36" s="36"/>
      <c r="DZ36" s="36"/>
      <c r="EA36" s="37"/>
    </row>
    <row r="37" spans="2:147" ht="18" customHeight="1" x14ac:dyDescent="0.25">
      <c r="B37" s="7"/>
      <c r="E37" s="23"/>
      <c r="F37" s="23"/>
      <c r="G37" s="23"/>
      <c r="H37" s="23"/>
      <c r="I37" s="23"/>
      <c r="J37" s="23"/>
      <c r="L37" s="30"/>
      <c r="M37" s="23"/>
      <c r="N37" s="10"/>
      <c r="O37" s="10" t="s">
        <v>68</v>
      </c>
      <c r="P37" s="117">
        <v>9923</v>
      </c>
      <c r="Q37" s="117"/>
      <c r="R37" s="117"/>
      <c r="S37" s="23" t="s">
        <v>69</v>
      </c>
      <c r="T37" s="23"/>
      <c r="V37" s="23"/>
      <c r="W37" s="23"/>
      <c r="AL37" s="1" t="str">
        <f>"X/R:"&amp;ROUND(P34,2)</f>
        <v>X/R:100</v>
      </c>
      <c r="AP37" s="9"/>
      <c r="AR37" s="7"/>
      <c r="CF37" s="9"/>
      <c r="CI37" s="31" t="s">
        <v>131</v>
      </c>
      <c r="DX37" s="35"/>
      <c r="DY37" s="36"/>
      <c r="DZ37" s="36"/>
      <c r="EA37" s="37"/>
    </row>
    <row r="38" spans="2:147" ht="18" customHeight="1" x14ac:dyDescent="0.25">
      <c r="B38" s="7"/>
      <c r="L38" s="30"/>
      <c r="M38" s="23"/>
      <c r="N38" s="23"/>
      <c r="O38" s="10" t="s">
        <v>70</v>
      </c>
      <c r="P38" s="117">
        <v>351.9</v>
      </c>
      <c r="Q38" s="117"/>
      <c r="R38" s="117"/>
      <c r="S38" s="23" t="s">
        <v>10</v>
      </c>
      <c r="T38" s="23"/>
      <c r="AP38" s="9"/>
      <c r="AR38" s="7"/>
      <c r="AS38" s="82" t="s">
        <v>211</v>
      </c>
      <c r="AT38" s="82"/>
      <c r="AU38" s="83"/>
      <c r="AV38" s="83"/>
      <c r="AW38" s="83"/>
      <c r="AX38" s="83"/>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9"/>
      <c r="CI38" s="1" t="s">
        <v>55</v>
      </c>
      <c r="CJ38" s="100">
        <f>P33/P34</f>
        <v>1.6399999999999998E-2</v>
      </c>
      <c r="CK38" s="100"/>
      <c r="CL38" s="100"/>
      <c r="CM38" s="100"/>
      <c r="CN38" s="100"/>
      <c r="CO38" s="100"/>
      <c r="CP38" s="100"/>
      <c r="CQ38" s="100"/>
      <c r="CR38" s="100"/>
      <c r="CS38" s="100"/>
      <c r="CT38" s="100"/>
      <c r="CU38" s="100"/>
      <c r="CV38" s="100"/>
      <c r="CW38" s="100"/>
      <c r="CX38" s="100"/>
      <c r="CY38" s="100"/>
      <c r="CZ38" s="100"/>
      <c r="DA38" s="100"/>
      <c r="DB38" s="100"/>
      <c r="DC38" s="100"/>
      <c r="DD38" s="100"/>
      <c r="DF38" s="1" t="s">
        <v>56</v>
      </c>
      <c r="DX38" s="35"/>
      <c r="DY38" s="36"/>
      <c r="DZ38" s="36"/>
      <c r="EA38" s="37"/>
    </row>
    <row r="39" spans="2:147" ht="18" customHeight="1" x14ac:dyDescent="0.25">
      <c r="B39" s="7"/>
      <c r="K39" s="23"/>
      <c r="L39" s="30"/>
      <c r="M39" s="23"/>
      <c r="N39" s="23"/>
      <c r="O39" s="10" t="s">
        <v>71</v>
      </c>
      <c r="P39" s="117">
        <v>90</v>
      </c>
      <c r="Q39" s="117"/>
      <c r="R39" s="117"/>
      <c r="S39" s="23" t="s">
        <v>64</v>
      </c>
      <c r="T39" s="23"/>
      <c r="AP39" s="9"/>
      <c r="AR39" s="7"/>
      <c r="AS39" s="210" t="str">
        <f>"With the reactor bypassed, the MotorVAR system reduces the "&amp;P29&amp;" kV system inrush current from "&amp;BH30&amp;" amps ("&amp;ROUND(100*BH12,1)&amp;"% FLA) to "&amp;BP30&amp;" amps ("&amp;ROUND(100*BP32,1)&amp;"% FLA). The minimum starting voltage at the "&amp;P29&amp;" kV bus improves from "&amp;ROUND(BH26*100,1)&amp;"% to "&amp;ROUND(BP26*100,1)&amp;"%, while the "&amp;P24&amp;" kV PCC voltage improves from "&amp;ROUND(BH22*100,1)&amp;"% to "&amp;ROUND(BP22*100,1)&amp;"%. Available starting torque increases from "&amp;ROUND(BH15*100,1)&amp;"% to "&amp;ROUND(BP15*100,1)&amp;"%."&amp;CHAR(10)&amp;CHAR(10)&amp;
"When a line reactor is added and coordinated with the MotorVAR system, the starting current seen by the motor is further reduced from "&amp;ROUND(BP12*100,1)&amp;"% FLA to "&amp;ROUND(BY12*100,1)&amp;"% FLA, with a corresponding reduction in available starting torque from "&amp;ROUND(BP15*100,1)&amp;"% to "&amp;ROUND(BY15*100,1)&amp;"%. Despite the reduced torque, voltage performance improves due to the lower current demand. The minimum starting voltage at the "&amp;P24&amp;" kV PCC increases from "&amp;ROUND(BP22*100,1)&amp;"% to "&amp;ROUND(BX22*100,1)&amp;"%, while the "&amp;P29&amp;" kV bus voltage improves from "&amp;ROUND(BP26*100,1)&amp;"% to "&amp;ROUND(BX26*100,1)&amp;"%."</f>
        <v>With the reactor bypassed, the MotorVAR system reduces the 12.47 kV system inrush current from 1100 amps amps (312.5% FLA) to 550 amps amps (156.3% FLA). The minimum starting voltage at the 12.47 kV bus improves from 62.5% to 82.6%, while the 34.5 kV PCC voltage improves from 66.9% to 84.5%. Available starting torque increases from 39.1% to 68.2%.
When a line reactor is added and coordinated with the MotorVAR system, the starting current seen by the motor is further reduced from 413% FLA to 344.7% FLA, with a corresponding reduction in available starting torque from 68.2% to 47.5%. Despite the reduced torque, voltage performance improves due to the lower current demand. The minimum starting voltage at the 34.5 kV PCC increases from 84.5% to 96.5%, while the 12.47 kV bus voltage improves from 82.6% to 96.2%.</v>
      </c>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9"/>
      <c r="CI39" s="1" t="s">
        <v>58</v>
      </c>
      <c r="CJ39" s="100">
        <f>P33</f>
        <v>1.64</v>
      </c>
      <c r="CK39" s="100"/>
      <c r="CL39" s="100"/>
      <c r="CM39" s="100"/>
      <c r="CN39" s="100"/>
      <c r="CO39" s="100"/>
      <c r="CP39" s="100"/>
      <c r="CQ39" s="100"/>
      <c r="CR39" s="100"/>
      <c r="CS39" s="100"/>
      <c r="CT39" s="100"/>
      <c r="CU39" s="100"/>
      <c r="CV39" s="100"/>
      <c r="CW39" s="100"/>
      <c r="CX39" s="100"/>
      <c r="CY39" s="100"/>
      <c r="CZ39" s="100"/>
      <c r="DA39" s="100"/>
      <c r="DB39" s="100"/>
      <c r="DC39" s="100"/>
      <c r="DD39" s="100"/>
      <c r="DF39" s="1" t="s">
        <v>56</v>
      </c>
      <c r="DM39" s="1" t="s">
        <v>56</v>
      </c>
      <c r="DX39" s="35"/>
      <c r="DY39" s="36"/>
      <c r="DZ39" s="36"/>
      <c r="EA39" s="37"/>
    </row>
    <row r="40" spans="2:147" ht="18" customHeight="1" x14ac:dyDescent="0.25">
      <c r="B40" s="7"/>
      <c r="O40" s="19" t="s">
        <v>72</v>
      </c>
      <c r="P40" s="117">
        <v>97.4</v>
      </c>
      <c r="Q40" s="117"/>
      <c r="R40" s="117"/>
      <c r="S40" s="1" t="s">
        <v>64</v>
      </c>
      <c r="AK40" s="1" t="str">
        <f>TEXT(P37,"#,##0") &amp;"HP, "&amp;P36&amp;"kV"</f>
        <v>9,923HP, 12.47kV</v>
      </c>
      <c r="AP40" s="9"/>
      <c r="AR40" s="7"/>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9"/>
      <c r="CI40" s="192" t="str">
        <f>COMPLEX(CJ38,CJ39)</f>
        <v>0.0164+1.64i</v>
      </c>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5"/>
      <c r="DM40" s="15" t="s">
        <v>56</v>
      </c>
      <c r="DN40" s="15"/>
      <c r="DX40" s="35"/>
      <c r="DY40" s="36"/>
      <c r="DZ40" s="36"/>
      <c r="EA40" s="37"/>
    </row>
    <row r="41" spans="2:147" ht="18" customHeight="1" x14ac:dyDescent="0.25">
      <c r="B41" s="7"/>
      <c r="O41" s="10" t="s">
        <v>74</v>
      </c>
      <c r="P41" s="117">
        <v>500</v>
      </c>
      <c r="Q41" s="117"/>
      <c r="R41" s="117"/>
      <c r="S41" s="1" t="s">
        <v>64</v>
      </c>
      <c r="AK41" s="100" t="str">
        <f>"LRA: "&amp;P41&amp;"%"</f>
        <v>LRA: 500%</v>
      </c>
      <c r="AL41" s="100"/>
      <c r="AM41" s="100"/>
      <c r="AN41" s="100"/>
      <c r="AO41" s="100"/>
      <c r="AP41" s="9"/>
      <c r="AR41" s="7"/>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9"/>
      <c r="CI41" s="31" t="s">
        <v>73</v>
      </c>
    </row>
    <row r="42" spans="2:147" ht="18" customHeight="1" x14ac:dyDescent="0.25">
      <c r="B42" s="7"/>
      <c r="O42" s="19" t="s">
        <v>75</v>
      </c>
      <c r="P42" s="117">
        <v>20</v>
      </c>
      <c r="Q42" s="117"/>
      <c r="R42" s="117"/>
      <c r="S42" s="1" t="s">
        <v>64</v>
      </c>
      <c r="AK42" s="100" t="str">
        <f>"FLA: "&amp;P38&amp;"A"</f>
        <v>FLA: 351.9A</v>
      </c>
      <c r="AL42" s="100"/>
      <c r="AM42" s="100"/>
      <c r="AN42" s="100"/>
      <c r="AO42" s="100"/>
      <c r="AP42" s="9"/>
      <c r="AR42" s="7"/>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9"/>
      <c r="CI42" s="1" t="s">
        <v>55</v>
      </c>
      <c r="CJ42" s="100">
        <v>0</v>
      </c>
      <c r="CK42" s="100"/>
      <c r="CL42" s="100"/>
      <c r="CM42" s="100"/>
      <c r="CN42" s="100"/>
      <c r="CO42" s="100"/>
      <c r="CP42" s="100"/>
      <c r="CQ42" s="100"/>
      <c r="CR42" s="100"/>
      <c r="CS42" s="100"/>
      <c r="CT42" s="100"/>
      <c r="CU42" s="100"/>
      <c r="CV42" s="100"/>
      <c r="CW42" s="100"/>
      <c r="CX42" s="100"/>
      <c r="CY42" s="100"/>
      <c r="CZ42" s="100"/>
      <c r="DA42" s="100"/>
      <c r="DB42" s="100"/>
      <c r="DC42" s="100"/>
      <c r="DD42" s="100"/>
      <c r="DF42" s="1" t="s">
        <v>56</v>
      </c>
    </row>
    <row r="43" spans="2:147" ht="18" customHeight="1" x14ac:dyDescent="0.3">
      <c r="B43" s="7"/>
      <c r="C43" s="106" t="s">
        <v>76</v>
      </c>
      <c r="D43" s="106"/>
      <c r="E43" s="106"/>
      <c r="F43" s="106"/>
      <c r="G43" s="106"/>
      <c r="H43" s="106"/>
      <c r="I43" s="106"/>
      <c r="J43" s="106"/>
      <c r="K43" s="106"/>
      <c r="L43" s="106"/>
      <c r="M43" s="106"/>
      <c r="N43" s="106"/>
      <c r="O43" s="106"/>
      <c r="P43" s="106"/>
      <c r="Q43" s="106"/>
      <c r="R43" s="106"/>
      <c r="S43" s="106"/>
      <c r="T43" s="106"/>
      <c r="AP43" s="9"/>
      <c r="AR43" s="7"/>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9"/>
      <c r="CI43" s="1" t="s">
        <v>58</v>
      </c>
      <c r="CJ43" s="100">
        <f>IF(P45=0,1E+99,-P44*P44/P45)</f>
        <v>-6.2200360000000012</v>
      </c>
      <c r="CK43" s="100"/>
      <c r="CL43" s="100"/>
      <c r="CM43" s="100"/>
      <c r="CN43" s="100"/>
      <c r="CO43" s="100"/>
      <c r="CP43" s="100"/>
      <c r="CQ43" s="100"/>
      <c r="CR43" s="100"/>
      <c r="CS43" s="100"/>
      <c r="CT43" s="100"/>
      <c r="CU43" s="100"/>
      <c r="CV43" s="100"/>
      <c r="CW43" s="100"/>
      <c r="CX43" s="100"/>
      <c r="CY43" s="100"/>
      <c r="CZ43" s="100"/>
      <c r="DA43" s="100"/>
      <c r="DB43" s="100"/>
      <c r="DC43" s="100"/>
      <c r="DD43" s="100"/>
      <c r="DF43" s="1" t="s">
        <v>56</v>
      </c>
      <c r="DM43" s="1" t="s">
        <v>56</v>
      </c>
    </row>
    <row r="44" spans="2:147" ht="18" customHeight="1" x14ac:dyDescent="0.25">
      <c r="B44" s="7"/>
      <c r="C44" s="23"/>
      <c r="K44" s="23"/>
      <c r="L44" s="30"/>
      <c r="M44" s="23"/>
      <c r="N44" s="10"/>
      <c r="O44" s="10" t="s">
        <v>77</v>
      </c>
      <c r="P44" s="117">
        <v>12.47</v>
      </c>
      <c r="Q44" s="117"/>
      <c r="R44" s="117"/>
      <c r="S44" s="23" t="s">
        <v>48</v>
      </c>
      <c r="T44" s="23"/>
      <c r="AP44" s="9"/>
      <c r="AR44" s="7"/>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9"/>
      <c r="CI44" s="192" t="str">
        <f>COMPLEX(CJ42,CJ43)</f>
        <v>-6.220036i</v>
      </c>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5"/>
      <c r="DM44" s="15" t="s">
        <v>56</v>
      </c>
      <c r="DN44" s="15"/>
    </row>
    <row r="45" spans="2:147" ht="18" customHeight="1" x14ac:dyDescent="0.25">
      <c r="B45" s="7"/>
      <c r="C45" s="23"/>
      <c r="D45" s="23"/>
      <c r="E45" s="23"/>
      <c r="F45" s="23"/>
      <c r="G45" s="23"/>
      <c r="H45" s="23"/>
      <c r="I45" s="23"/>
      <c r="J45" s="23"/>
      <c r="K45" s="23"/>
      <c r="L45" s="30"/>
      <c r="M45" s="23"/>
      <c r="N45" s="23"/>
      <c r="O45" s="10" t="s">
        <v>79</v>
      </c>
      <c r="P45" s="117">
        <v>25</v>
      </c>
      <c r="Q45" s="117"/>
      <c r="R45" s="117"/>
      <c r="S45" s="23" t="s">
        <v>80</v>
      </c>
      <c r="T45" s="23"/>
      <c r="AP45" s="9"/>
      <c r="AR45" s="7"/>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9"/>
      <c r="CI45" s="31" t="s">
        <v>132</v>
      </c>
      <c r="DX45" s="35"/>
      <c r="EO45" s="31"/>
      <c r="EQ45" s="31"/>
    </row>
    <row r="46" spans="2:147" ht="18" customHeight="1" x14ac:dyDescent="0.25">
      <c r="B46" s="7"/>
      <c r="F46" s="23"/>
      <c r="G46" s="23"/>
      <c r="H46" s="23"/>
      <c r="I46" s="23"/>
      <c r="J46" s="23"/>
      <c r="K46" s="23"/>
      <c r="L46" s="30"/>
      <c r="M46" s="23"/>
      <c r="N46" s="23"/>
      <c r="O46" s="10" t="s">
        <v>81</v>
      </c>
      <c r="P46" s="117">
        <v>4</v>
      </c>
      <c r="Q46" s="117"/>
      <c r="R46" s="117"/>
      <c r="S46" s="23"/>
      <c r="T46" s="23"/>
      <c r="X46" s="100" t="str">
        <f>P44&amp;"KV, "&amp;P45&amp;" MVAR"</f>
        <v>12.47KV, 25 MVAR</v>
      </c>
      <c r="Y46" s="100"/>
      <c r="Z46" s="100"/>
      <c r="AA46" s="100"/>
      <c r="AB46" s="100"/>
      <c r="AC46" s="100"/>
      <c r="AP46" s="42"/>
      <c r="AR46" s="7"/>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9"/>
      <c r="CH46" s="1" t="s">
        <v>128</v>
      </c>
      <c r="CI46" s="118" t="str">
        <f>IMSUM(CI36,CI32,CI28,CI40)</f>
        <v>1.15294934887885+8.09460028863865i</v>
      </c>
      <c r="CJ46" s="118"/>
      <c r="CK46" s="118"/>
      <c r="CL46" s="118"/>
      <c r="CM46" s="118"/>
      <c r="CN46" s="118"/>
      <c r="CO46" s="118"/>
      <c r="CP46" s="118"/>
      <c r="CQ46" s="118"/>
      <c r="CR46" s="118"/>
      <c r="CS46" s="118"/>
      <c r="CT46" s="118"/>
      <c r="CU46" s="118"/>
      <c r="CV46" s="118"/>
      <c r="CW46" s="118"/>
      <c r="CX46" s="118"/>
      <c r="CY46" s="118"/>
      <c r="CZ46" s="118"/>
      <c r="DA46" s="118"/>
      <c r="DB46" s="118"/>
      <c r="DC46" s="118"/>
      <c r="DD46" s="118"/>
      <c r="DE46" s="118"/>
      <c r="DF46" s="118"/>
      <c r="DG46" s="118"/>
      <c r="DH46" s="118"/>
      <c r="DI46" s="118"/>
      <c r="DJ46" s="118"/>
      <c r="DK46" s="118"/>
      <c r="DL46" s="15"/>
      <c r="DM46" s="15" t="s">
        <v>56</v>
      </c>
      <c r="DN46" s="15"/>
      <c r="DO46" s="15"/>
      <c r="DX46" s="35"/>
    </row>
    <row r="47" spans="2:147"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t="str">
        <f>P46&amp;" Stage MotorVAR"</f>
        <v>4 Stage MotorVAR</v>
      </c>
      <c r="Y47" s="11"/>
      <c r="Z47" s="11"/>
      <c r="AA47" s="11"/>
      <c r="AB47" s="11"/>
      <c r="AC47" s="11"/>
      <c r="AD47" s="11"/>
      <c r="AE47" s="11"/>
      <c r="AF47" s="11"/>
      <c r="AG47" s="11"/>
      <c r="AH47" s="11"/>
      <c r="AI47" s="11"/>
      <c r="AJ47" s="11"/>
      <c r="AK47" s="11"/>
      <c r="AL47" s="11"/>
      <c r="AM47" s="11"/>
      <c r="AN47" s="12"/>
      <c r="AO47" s="11"/>
      <c r="AP47" s="9"/>
      <c r="AR47" s="7"/>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9"/>
      <c r="DI47" s="19" t="s">
        <v>82</v>
      </c>
      <c r="DJ47" s="110">
        <f>IMABS(CI46)</f>
        <v>8.1762978195457805</v>
      </c>
      <c r="DK47" s="110"/>
      <c r="DL47" s="110"/>
      <c r="DM47" s="110"/>
      <c r="DN47" s="3" t="s">
        <v>9</v>
      </c>
      <c r="DO47" s="93">
        <f>DEGREES(IMARGUMENT(CI46))</f>
        <v>81.893637296982561</v>
      </c>
      <c r="DP47" s="93"/>
      <c r="DQ47" s="93"/>
      <c r="DR47" s="1" t="s">
        <v>56</v>
      </c>
      <c r="DX47" s="35"/>
    </row>
    <row r="48" spans="2:147" ht="18" customHeight="1" x14ac:dyDescent="0.25">
      <c r="B48" s="7"/>
      <c r="D48" s="43" t="s">
        <v>86</v>
      </c>
      <c r="AP48" s="9"/>
      <c r="AR48" s="7"/>
      <c r="AT48" s="43" t="s">
        <v>86</v>
      </c>
      <c r="CE48" s="19" t="s">
        <v>87</v>
      </c>
      <c r="CF48" s="9"/>
    </row>
    <row r="49" spans="2:237" ht="18" customHeight="1" x14ac:dyDescent="0.25">
      <c r="B49" s="44"/>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5" t="s">
        <v>239</v>
      </c>
      <c r="AF49" s="41"/>
      <c r="AG49" s="41"/>
      <c r="AH49" s="41"/>
      <c r="AI49" s="41"/>
      <c r="AJ49" s="41"/>
      <c r="AK49" s="41"/>
      <c r="AL49" s="41"/>
      <c r="AM49" s="41"/>
      <c r="AN49" s="41"/>
      <c r="AO49" s="41"/>
      <c r="AP49" s="46"/>
      <c r="AR49" s="44"/>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6"/>
      <c r="CI49" s="31" t="s">
        <v>133</v>
      </c>
      <c r="DX49" s="35"/>
      <c r="DY49" s="36"/>
      <c r="DZ49" s="36"/>
      <c r="EA49" s="37"/>
      <c r="ES49" s="31" t="s">
        <v>196</v>
      </c>
    </row>
    <row r="50" spans="2:237" ht="18" customHeight="1" x14ac:dyDescent="0.25">
      <c r="CH50" s="1" t="s">
        <v>134</v>
      </c>
      <c r="CI50" s="118" t="str">
        <f>IMDIV(IMPRODUCT(CI44,IMSUM(CI36,CI40)),IMSUM(CI44,IMSUM(CI36,CI40)))</f>
        <v>31.7319530506234+15.2755042668599i</v>
      </c>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8"/>
      <c r="DJ50" s="118"/>
      <c r="DK50" s="118"/>
      <c r="DL50" s="31"/>
      <c r="DN50" s="100">
        <f>IMABS(CI50)</f>
        <v>35.217295112115337</v>
      </c>
      <c r="DO50" s="100"/>
      <c r="DP50" s="100"/>
      <c r="DQ50" s="100"/>
      <c r="DR50" s="1" t="s">
        <v>9</v>
      </c>
      <c r="DS50" s="100">
        <f>DEGREES(IMARGUMENT(CI50))</f>
        <v>25.70578561297468</v>
      </c>
      <c r="DT50" s="100"/>
      <c r="DU50" s="100"/>
      <c r="DV50" s="100"/>
      <c r="DW50" s="1" t="s">
        <v>56</v>
      </c>
      <c r="DX50" s="35"/>
      <c r="DY50" s="36"/>
      <c r="DZ50" s="36"/>
      <c r="EA50" s="37"/>
      <c r="ES50" s="1" t="str">
        <f>IMDIV(IMPRODUCT(CI44,IMSUM(CI36)),IMSUM(CI44,IMSUM(CI36)))</f>
        <v>5.72357490863051+9.19122977233526i</v>
      </c>
      <c r="FH50" s="100">
        <f>IMABS(ES50)</f>
        <v>10.82765045901311</v>
      </c>
      <c r="FI50" s="100"/>
      <c r="FJ50" s="100"/>
      <c r="FK50" s="100"/>
      <c r="FL50" s="1" t="s">
        <v>9</v>
      </c>
      <c r="FM50" s="100">
        <f>DEGREES(IMARGUMENT(ES50))</f>
        <v>58.088597123455521</v>
      </c>
      <c r="FN50" s="100"/>
      <c r="FO50" s="100"/>
      <c r="FP50" s="100"/>
      <c r="FQ50" s="1" t="s">
        <v>56</v>
      </c>
    </row>
    <row r="51" spans="2:23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CI51" s="31" t="s">
        <v>197</v>
      </c>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X51" s="35"/>
      <c r="DY51" s="36"/>
      <c r="DZ51" s="36"/>
      <c r="EA51" s="37"/>
      <c r="ES51" s="31" t="s">
        <v>198</v>
      </c>
    </row>
    <row r="52" spans="2:237" ht="18" customHeight="1" x14ac:dyDescent="0.25">
      <c r="B52" s="7"/>
      <c r="AN52" s="8"/>
      <c r="AP52" s="9"/>
      <c r="AR52" s="7"/>
      <c r="CD52" s="8"/>
      <c r="CF52" s="9"/>
      <c r="CI52" s="118" t="str">
        <f>IMSUM(CI50,CI32,CI28)</f>
        <v>32.0491682152966+17.7162031952519i</v>
      </c>
      <c r="CJ52" s="118"/>
      <c r="CK52" s="118"/>
      <c r="CL52" s="118"/>
      <c r="CM52" s="118"/>
      <c r="CN52" s="118"/>
      <c r="CO52" s="118"/>
      <c r="CP52" s="118"/>
      <c r="CQ52" s="118"/>
      <c r="CR52" s="118"/>
      <c r="CS52" s="118"/>
      <c r="CT52" s="118"/>
      <c r="CU52" s="118"/>
      <c r="CV52" s="118"/>
      <c r="CW52" s="118"/>
      <c r="CX52" s="118"/>
      <c r="CY52" s="118"/>
      <c r="CZ52" s="118"/>
      <c r="DA52" s="118"/>
      <c r="DB52" s="118"/>
      <c r="DC52" s="118"/>
      <c r="DD52" s="118"/>
      <c r="DE52" s="118"/>
      <c r="DF52" s="118"/>
      <c r="DG52" s="118"/>
      <c r="DH52" s="118"/>
      <c r="DI52" s="118"/>
      <c r="DJ52" s="118"/>
      <c r="DK52" s="118"/>
      <c r="DL52" s="118"/>
      <c r="DX52" s="35"/>
      <c r="DY52" s="36"/>
      <c r="DZ52" s="36"/>
      <c r="EA52" s="37"/>
      <c r="ES52" s="1" t="str">
        <f>IMSUM(ES50,CI32,CI28)</f>
        <v>6.04079007330372+11.6319287007272i</v>
      </c>
    </row>
    <row r="53" spans="2:237" ht="18" customHeight="1" x14ac:dyDescent="0.25">
      <c r="B53" s="7"/>
      <c r="AN53" s="10"/>
      <c r="AP53" s="9"/>
      <c r="AR53" s="7"/>
      <c r="CD53" s="10"/>
      <c r="CF53" s="9"/>
      <c r="CI53" s="1" t="s">
        <v>12</v>
      </c>
      <c r="DI53" s="19" t="s">
        <v>82</v>
      </c>
      <c r="DJ53" s="110">
        <f>IMABS(CI52)</f>
        <v>36.619844878806241</v>
      </c>
      <c r="DK53" s="110"/>
      <c r="DL53" s="110"/>
      <c r="DM53" s="110"/>
      <c r="DN53" s="3" t="s">
        <v>9</v>
      </c>
      <c r="DO53" s="93">
        <f>DEGREES(IMARGUMENT(CI52))</f>
        <v>28.933027441340236</v>
      </c>
      <c r="DP53" s="93"/>
      <c r="DQ53" s="93"/>
      <c r="DR53" s="1" t="s">
        <v>56</v>
      </c>
      <c r="DX53" s="35"/>
      <c r="DY53" s="36"/>
      <c r="DZ53" s="36"/>
      <c r="EA53" s="37"/>
      <c r="EF53" s="1"/>
      <c r="EG53" s="1"/>
      <c r="EH53" s="1"/>
      <c r="EI53" s="1"/>
      <c r="EJ53" s="1"/>
      <c r="EK53" s="1"/>
      <c r="EL53" s="1"/>
      <c r="EM53" s="1"/>
      <c r="EN53" s="1"/>
      <c r="EO53" s="1"/>
      <c r="EP53" s="1"/>
      <c r="EQ53" s="1"/>
      <c r="ER53" s="1"/>
      <c r="FA53" s="19" t="s">
        <v>82</v>
      </c>
      <c r="FF53" s="110">
        <f>IMABS(ES52)</f>
        <v>13.106979438777111</v>
      </c>
      <c r="FG53" s="110"/>
      <c r="FH53" s="110"/>
      <c r="FI53" s="110"/>
      <c r="FJ53" s="3" t="s">
        <v>9</v>
      </c>
      <c r="FK53" s="93">
        <f>DEGREES(IMARGUMENT(ES52))</f>
        <v>62.555869539539259</v>
      </c>
      <c r="FL53" s="93"/>
      <c r="FM53" s="93"/>
      <c r="FN53" s="1" t="s">
        <v>56</v>
      </c>
    </row>
    <row r="54" spans="2:237" ht="18" customHeight="1" thickBot="1" x14ac:dyDescent="0.3">
      <c r="B54" s="7"/>
      <c r="C54" s="11" t="str">
        <f>C7</f>
        <v>MotorVAR™ - MOTOR START CAPACITOR BANK - SIZING TOOL 
MotorVAR + LINE REACTOR CONFIGURATION</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tr">
        <f>C7</f>
        <v>MotorVAR™ - MOTOR START CAPACITOR BANK - SIZING TOOL 
MotorVAR + LINE REACTOR CONFIGURATION</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row>
    <row r="55" spans="2:237" ht="18" customHeight="1" x14ac:dyDescent="0.25">
      <c r="B55" s="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9"/>
      <c r="AR55" s="7"/>
      <c r="CD55" s="10"/>
      <c r="CF55" s="9"/>
      <c r="CH55" s="1" t="s">
        <v>88</v>
      </c>
      <c r="DL55" s="100" t="str">
        <f>IMDIV(P29/1.73,IMSUM(CI28,CI32))</f>
        <v>0.377460113665694-2.90423219798979i</v>
      </c>
      <c r="DM55" s="100"/>
      <c r="DN55" s="100"/>
      <c r="DO55" s="100"/>
      <c r="DP55" s="100"/>
      <c r="DQ55" s="100"/>
      <c r="DR55" s="100"/>
      <c r="DS55" s="100"/>
      <c r="DT55" s="100"/>
      <c r="DU55" s="100"/>
      <c r="DV55" s="100"/>
      <c r="DW55" s="100"/>
      <c r="DX55" s="100"/>
      <c r="DY55" s="37" t="s">
        <v>89</v>
      </c>
      <c r="DZ55" s="1"/>
      <c r="EA55" s="1"/>
    </row>
    <row r="56" spans="2:237" ht="18" customHeight="1" x14ac:dyDescent="0.3">
      <c r="B56" s="7"/>
      <c r="C56" s="28" t="s">
        <v>184</v>
      </c>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9"/>
      <c r="AR56" s="7"/>
      <c r="AS56" s="28" t="s">
        <v>189</v>
      </c>
      <c r="CF56" s="9"/>
      <c r="DL56" s="100">
        <f>IMABS(DL55)</f>
        <v>2.9286585320329039</v>
      </c>
      <c r="DM56" s="100"/>
      <c r="DN56" s="100"/>
      <c r="DO56" s="100"/>
      <c r="DP56" s="1" t="s">
        <v>89</v>
      </c>
      <c r="DV56" s="35"/>
      <c r="DW56" s="36"/>
      <c r="DX56" s="36"/>
      <c r="DY56" s="37"/>
      <c r="DZ56" s="1"/>
      <c r="EA56" s="1"/>
    </row>
    <row r="57" spans="2:237" ht="18" customHeight="1" x14ac:dyDescent="0.25">
      <c r="B57" s="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9"/>
      <c r="AR57" s="7"/>
      <c r="CF57" s="9"/>
      <c r="DJ57" s="19" t="s">
        <v>90</v>
      </c>
      <c r="DL57" s="100">
        <f>DL56*1.73*P29</f>
        <v>63.180243377399037</v>
      </c>
      <c r="DM57" s="100"/>
      <c r="DN57" s="100"/>
      <c r="DO57" s="100"/>
      <c r="DP57" s="1" t="s">
        <v>91</v>
      </c>
      <c r="DV57" s="35"/>
      <c r="DW57" s="36"/>
      <c r="DX57" s="36"/>
      <c r="DY57" s="37"/>
      <c r="DZ57" s="1"/>
      <c r="EA57" s="1"/>
    </row>
    <row r="58" spans="2:237" ht="18" customHeight="1" x14ac:dyDescent="0.25">
      <c r="B58" s="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9"/>
      <c r="AR58" s="7"/>
      <c r="CF58" s="9"/>
    </row>
    <row r="59" spans="2:237" ht="18" customHeight="1" x14ac:dyDescent="0.25">
      <c r="B59" s="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9"/>
      <c r="AR59" s="7"/>
      <c r="CF59" s="9"/>
    </row>
    <row r="60" spans="2:237" ht="18" customHeight="1" x14ac:dyDescent="0.25">
      <c r="B60" s="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9"/>
      <c r="AR60" s="7"/>
      <c r="CF60" s="9"/>
      <c r="DA60" s="101" t="s">
        <v>17</v>
      </c>
      <c r="DB60" s="101"/>
      <c r="DC60" s="101"/>
      <c r="DD60" s="101"/>
      <c r="DE60" s="101"/>
      <c r="DF60" s="101"/>
      <c r="DG60" s="101"/>
      <c r="DH60" s="101"/>
      <c r="DI60" s="101"/>
      <c r="DJ60" s="101"/>
      <c r="DK60" s="101"/>
      <c r="DL60" s="101"/>
      <c r="DM60" s="101"/>
      <c r="DN60" s="101"/>
      <c r="DO60" s="101"/>
      <c r="DP60" s="101" t="s">
        <v>135</v>
      </c>
      <c r="DQ60" s="101"/>
      <c r="DR60" s="101"/>
      <c r="DS60" s="101"/>
      <c r="DT60" s="101"/>
      <c r="DU60" s="101"/>
      <c r="DV60" s="101"/>
      <c r="DW60" s="101"/>
      <c r="DX60" s="101"/>
      <c r="DY60" s="101" t="s">
        <v>98</v>
      </c>
      <c r="DZ60" s="101"/>
      <c r="EA60" s="101"/>
      <c r="EB60" s="101"/>
      <c r="EC60" s="101"/>
      <c r="ED60" s="101"/>
      <c r="EE60" s="101"/>
      <c r="EF60" s="101"/>
      <c r="EG60" s="101"/>
      <c r="EH60" s="101" t="s">
        <v>205</v>
      </c>
      <c r="EI60" s="101"/>
      <c r="EJ60" s="101"/>
      <c r="EK60" s="101"/>
      <c r="EL60" s="101"/>
      <c r="EM60" s="101"/>
      <c r="EN60" s="101"/>
      <c r="EO60" s="101"/>
      <c r="EP60" s="101"/>
      <c r="EY60" s="3"/>
      <c r="HL60" s="115"/>
      <c r="HM60" s="115"/>
      <c r="HN60" s="115"/>
      <c r="HO60" s="115"/>
      <c r="HP60" s="115"/>
      <c r="HQ60" s="115"/>
      <c r="HR60" s="115"/>
      <c r="HS60" s="115"/>
      <c r="HT60" s="115"/>
      <c r="HU60" s="115"/>
      <c r="HV60" s="115"/>
      <c r="HW60" s="115"/>
      <c r="HX60" s="115"/>
      <c r="HY60" s="115"/>
      <c r="HZ60" s="116"/>
      <c r="IA60" s="116"/>
      <c r="IB60" s="116"/>
      <c r="IC60" s="116"/>
    </row>
    <row r="61" spans="2:237" ht="18" customHeight="1" x14ac:dyDescent="0.25">
      <c r="B61" s="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9"/>
      <c r="AR61" s="7"/>
      <c r="CF61" s="9"/>
      <c r="DA61" s="212" t="s">
        <v>99</v>
      </c>
      <c r="DB61" s="212"/>
      <c r="DC61" s="212"/>
      <c r="DD61" s="212"/>
      <c r="DE61" s="212"/>
      <c r="DF61" s="212"/>
      <c r="DG61" s="212"/>
      <c r="DH61" s="212"/>
      <c r="DI61" s="212"/>
      <c r="DJ61" s="212"/>
      <c r="DK61" s="212"/>
      <c r="DL61" s="212"/>
      <c r="DM61" s="212"/>
      <c r="DN61" s="212"/>
      <c r="DO61" s="212"/>
      <c r="DP61" s="98">
        <f>BH12</f>
        <v>3.1253686549847539</v>
      </c>
      <c r="DQ61" s="98"/>
      <c r="DR61" s="98"/>
      <c r="DS61" s="98"/>
      <c r="DT61" s="98"/>
      <c r="DU61" s="98"/>
      <c r="DV61" s="98"/>
      <c r="DW61" s="98"/>
      <c r="DX61" s="98"/>
      <c r="DY61" s="98">
        <f>BP12</f>
        <v>4.1304903656823431</v>
      </c>
      <c r="DZ61" s="98"/>
      <c r="EA61" s="98"/>
      <c r="EB61" s="98"/>
      <c r="EC61" s="98"/>
      <c r="ED61" s="98"/>
      <c r="EE61" s="98"/>
      <c r="EF61" s="98"/>
      <c r="EG61" s="98"/>
      <c r="EH61" s="98">
        <f>BY12</f>
        <v>3.4466636303732439</v>
      </c>
      <c r="EI61" s="98"/>
      <c r="EJ61" s="98"/>
      <c r="EK61" s="98"/>
      <c r="EL61" s="98"/>
      <c r="EM61" s="98"/>
      <c r="EN61" s="98"/>
      <c r="EO61" s="98"/>
      <c r="EP61" s="98"/>
      <c r="EY61" s="3"/>
    </row>
    <row r="62" spans="2:237" ht="18" customHeight="1" x14ac:dyDescent="0.25">
      <c r="B62" s="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9"/>
      <c r="AR62" s="7"/>
      <c r="CF62" s="9"/>
      <c r="DA62" s="212" t="s">
        <v>100</v>
      </c>
      <c r="DB62" s="212"/>
      <c r="DC62" s="212"/>
      <c r="DD62" s="212"/>
      <c r="DE62" s="212"/>
      <c r="DF62" s="212"/>
      <c r="DG62" s="212"/>
      <c r="DH62" s="212"/>
      <c r="DI62" s="212"/>
      <c r="DJ62" s="212"/>
      <c r="DK62" s="212"/>
      <c r="DL62" s="212"/>
      <c r="DM62" s="212"/>
      <c r="DN62" s="212"/>
      <c r="DO62" s="212"/>
      <c r="DP62" s="98">
        <f>BH14</f>
        <v>0.62507373099695185</v>
      </c>
      <c r="DQ62" s="98"/>
      <c r="DR62" s="98"/>
      <c r="DS62" s="98"/>
      <c r="DT62" s="98"/>
      <c r="DU62" s="98"/>
      <c r="DV62" s="98"/>
      <c r="DW62" s="98"/>
      <c r="DX62" s="98"/>
      <c r="DY62" s="98">
        <f>BP14</f>
        <v>0.82609807313647088</v>
      </c>
      <c r="DZ62" s="98"/>
      <c r="EA62" s="98"/>
      <c r="EB62" s="98"/>
      <c r="EC62" s="98"/>
      <c r="ED62" s="98"/>
      <c r="EE62" s="98"/>
      <c r="EF62" s="98"/>
      <c r="EG62" s="98"/>
      <c r="EH62" s="98">
        <f>BY14</f>
        <v>0.68933272607464968</v>
      </c>
      <c r="EI62" s="98"/>
      <c r="EJ62" s="98"/>
      <c r="EK62" s="98"/>
      <c r="EL62" s="98"/>
      <c r="EM62" s="98"/>
      <c r="EN62" s="98"/>
      <c r="EO62" s="98"/>
      <c r="EP62" s="98"/>
      <c r="EY62" s="3"/>
    </row>
    <row r="63" spans="2:237" ht="18" customHeight="1" x14ac:dyDescent="0.25">
      <c r="B63" s="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9"/>
      <c r="AR63" s="7"/>
      <c r="CF63" s="9"/>
      <c r="DA63" s="212" t="s">
        <v>101</v>
      </c>
      <c r="DB63" s="212"/>
      <c r="DC63" s="212"/>
      <c r="DD63" s="212"/>
      <c r="DE63" s="212"/>
      <c r="DF63" s="212"/>
      <c r="DG63" s="212"/>
      <c r="DH63" s="212"/>
      <c r="DI63" s="212"/>
      <c r="DJ63" s="212"/>
      <c r="DK63" s="212"/>
      <c r="DL63" s="212"/>
      <c r="DM63" s="212"/>
      <c r="DN63" s="212"/>
      <c r="DO63" s="212"/>
      <c r="DP63" s="98">
        <f>BH15</f>
        <v>0.39071716918244831</v>
      </c>
      <c r="DQ63" s="98"/>
      <c r="DR63" s="98"/>
      <c r="DS63" s="98"/>
      <c r="DT63" s="98"/>
      <c r="DU63" s="98"/>
      <c r="DV63" s="98"/>
      <c r="DW63" s="98"/>
      <c r="DX63" s="98"/>
      <c r="DY63" s="98">
        <f>BP15</f>
        <v>0.68243802643978635</v>
      </c>
      <c r="DZ63" s="98"/>
      <c r="EA63" s="98"/>
      <c r="EB63" s="98"/>
      <c r="EC63" s="98"/>
      <c r="ED63" s="98"/>
      <c r="EE63" s="98"/>
      <c r="EF63" s="98"/>
      <c r="EG63" s="98"/>
      <c r="EH63" s="98">
        <f>BY15</f>
        <v>0.4751796072375068</v>
      </c>
      <c r="EI63" s="98"/>
      <c r="EJ63" s="98"/>
      <c r="EK63" s="98"/>
      <c r="EL63" s="98"/>
      <c r="EM63" s="98"/>
      <c r="EN63" s="98"/>
      <c r="EO63" s="98"/>
      <c r="EP63" s="98"/>
      <c r="EY63" s="3"/>
    </row>
    <row r="64" spans="2:237" ht="18" customHeight="1" x14ac:dyDescent="0.3">
      <c r="B64" s="7"/>
      <c r="C64" s="28" t="s">
        <v>216</v>
      </c>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9"/>
      <c r="AR64" s="7"/>
      <c r="CF64" s="9"/>
      <c r="DA64" s="212" t="str">
        <f>BF21</f>
        <v>Voltage at Primary (PCC) 34.5 kV Bus:</v>
      </c>
      <c r="DB64" s="212"/>
      <c r="DC64" s="212"/>
      <c r="DD64" s="212"/>
      <c r="DE64" s="212"/>
      <c r="DF64" s="212"/>
      <c r="DG64" s="212"/>
      <c r="DH64" s="212"/>
      <c r="DI64" s="212"/>
      <c r="DJ64" s="212"/>
      <c r="DK64" s="212"/>
      <c r="DL64" s="212"/>
      <c r="DM64" s="212"/>
      <c r="DN64" s="212"/>
      <c r="DO64" s="212"/>
      <c r="DP64" s="98">
        <f>BH22</f>
        <v>0.66898648828175133</v>
      </c>
      <c r="DQ64" s="98"/>
      <c r="DR64" s="98"/>
      <c r="DS64" s="98"/>
      <c r="DT64" s="98"/>
      <c r="DU64" s="98"/>
      <c r="DV64" s="98"/>
      <c r="DW64" s="98"/>
      <c r="DX64" s="98"/>
      <c r="DY64" s="98">
        <f>BP22</f>
        <v>0.84545253825086331</v>
      </c>
      <c r="DZ64" s="98"/>
      <c r="EA64" s="98"/>
      <c r="EB64" s="98"/>
      <c r="EC64" s="98"/>
      <c r="ED64" s="98"/>
      <c r="EE64" s="98"/>
      <c r="EF64" s="98"/>
      <c r="EG64" s="98"/>
      <c r="EH64" s="98">
        <f>BX22</f>
        <v>0.96542709792916226</v>
      </c>
      <c r="EI64" s="98"/>
      <c r="EJ64" s="98"/>
      <c r="EK64" s="98"/>
      <c r="EL64" s="98"/>
      <c r="EM64" s="98"/>
      <c r="EN64" s="98"/>
      <c r="EO64" s="98"/>
      <c r="EP64" s="98"/>
      <c r="EQ64" s="51"/>
      <c r="ER64" s="51"/>
      <c r="ES64" s="20"/>
      <c r="ET64" s="20"/>
      <c r="EU64" s="20"/>
      <c r="EV64" s="20"/>
      <c r="EW64" s="20"/>
      <c r="EX64" s="20"/>
      <c r="EY64" s="51"/>
      <c r="EZ64" s="20"/>
      <c r="FA64" s="1" t="s">
        <v>12</v>
      </c>
    </row>
    <row r="65" spans="2:158" ht="18" customHeight="1" x14ac:dyDescent="0.25">
      <c r="B65" s="7"/>
      <c r="AP65" s="9"/>
      <c r="AR65" s="7"/>
      <c r="CF65" s="9"/>
      <c r="DA65" s="212" t="str">
        <f>BF25</f>
        <v>Voltage at Secondary 12.47 kV Bus:</v>
      </c>
      <c r="DB65" s="212"/>
      <c r="DC65" s="212"/>
      <c r="DD65" s="212"/>
      <c r="DE65" s="212"/>
      <c r="DF65" s="212"/>
      <c r="DG65" s="212"/>
      <c r="DH65" s="212"/>
      <c r="DI65" s="212"/>
      <c r="DJ65" s="212"/>
      <c r="DK65" s="212"/>
      <c r="DL65" s="212"/>
      <c r="DM65" s="212"/>
      <c r="DN65" s="212"/>
      <c r="DO65" s="212"/>
      <c r="DP65" s="98">
        <f>BH26</f>
        <v>0.62507373099695185</v>
      </c>
      <c r="DQ65" s="98"/>
      <c r="DR65" s="98"/>
      <c r="DS65" s="98"/>
      <c r="DT65" s="98"/>
      <c r="DU65" s="98"/>
      <c r="DV65" s="98"/>
      <c r="DW65" s="98"/>
      <c r="DX65" s="98"/>
      <c r="DY65" s="98">
        <f>BP26</f>
        <v>0.82609807313647088</v>
      </c>
      <c r="DZ65" s="98"/>
      <c r="EA65" s="98"/>
      <c r="EB65" s="98"/>
      <c r="EC65" s="98"/>
      <c r="ED65" s="98"/>
      <c r="EE65" s="98"/>
      <c r="EF65" s="98"/>
      <c r="EG65" s="98"/>
      <c r="EH65" s="98">
        <f>BX26</f>
        <v>0.96169973490241467</v>
      </c>
      <c r="EI65" s="98"/>
      <c r="EJ65" s="98"/>
      <c r="EK65" s="98"/>
      <c r="EL65" s="98"/>
      <c r="EM65" s="98"/>
      <c r="EN65" s="98"/>
      <c r="EO65" s="98"/>
      <c r="EP65" s="98"/>
      <c r="EQ65" s="51"/>
      <c r="ER65" s="51"/>
      <c r="ES65" s="20"/>
      <c r="ET65" s="20"/>
      <c r="EU65" s="20"/>
      <c r="EV65" s="20"/>
      <c r="EW65" s="20"/>
      <c r="EX65" s="20"/>
      <c r="EY65" s="51"/>
      <c r="EZ65" s="20"/>
    </row>
    <row r="66" spans="2:158" ht="18" customHeight="1" x14ac:dyDescent="0.25">
      <c r="B66" s="7"/>
      <c r="AP66" s="9"/>
      <c r="AR66" s="7"/>
      <c r="CF66" s="9"/>
      <c r="DA66" s="212" t="s">
        <v>102</v>
      </c>
      <c r="DB66" s="212"/>
      <c r="DC66" s="212"/>
      <c r="DD66" s="212"/>
      <c r="DE66" s="212"/>
      <c r="DF66" s="212"/>
      <c r="DG66" s="212"/>
      <c r="DH66" s="212"/>
      <c r="DI66" s="212"/>
      <c r="DJ66" s="212"/>
      <c r="DK66" s="212"/>
      <c r="DL66" s="212"/>
      <c r="DM66" s="212"/>
      <c r="DN66" s="212"/>
      <c r="DO66" s="212"/>
      <c r="DP66" s="98">
        <f>BH32</f>
        <v>3.1253686549847539</v>
      </c>
      <c r="DQ66" s="98"/>
      <c r="DR66" s="98"/>
      <c r="DS66" s="98"/>
      <c r="DT66" s="98"/>
      <c r="DU66" s="98"/>
      <c r="DV66" s="98"/>
      <c r="DW66" s="98"/>
      <c r="DX66" s="98"/>
      <c r="DY66" s="98">
        <f>BP32</f>
        <v>1.5627822337571433</v>
      </c>
      <c r="DZ66" s="98"/>
      <c r="EA66" s="98"/>
      <c r="EB66" s="98"/>
      <c r="EC66" s="98"/>
      <c r="ED66" s="98"/>
      <c r="EE66" s="98"/>
      <c r="EF66" s="98"/>
      <c r="EG66" s="98"/>
      <c r="EH66" s="98">
        <f>BX32</f>
        <v>0.55935121169767221</v>
      </c>
      <c r="EI66" s="98"/>
      <c r="EJ66" s="98"/>
      <c r="EK66" s="98"/>
      <c r="EL66" s="98"/>
      <c r="EM66" s="98"/>
      <c r="EN66" s="98"/>
      <c r="EO66" s="98"/>
      <c r="EP66" s="98"/>
      <c r="EQ66" s="52"/>
      <c r="ER66" s="52"/>
      <c r="ES66" s="52"/>
      <c r="ET66" s="20"/>
      <c r="EU66" s="20"/>
      <c r="EV66" s="20"/>
      <c r="EW66" s="20"/>
      <c r="EX66" s="20"/>
      <c r="EY66" s="51"/>
      <c r="EZ66" s="20"/>
    </row>
    <row r="67" spans="2:158" ht="18" customHeight="1" x14ac:dyDescent="0.25">
      <c r="B67" s="7"/>
      <c r="AP67" s="9"/>
      <c r="AR67" s="7"/>
      <c r="CF67" s="9"/>
      <c r="DD67" s="2"/>
      <c r="DE67" s="2"/>
      <c r="DF67" s="2"/>
      <c r="DI67" s="3"/>
      <c r="DJ67" s="3"/>
      <c r="DK67" s="3"/>
      <c r="DL67" s="3"/>
      <c r="DM67" s="3"/>
      <c r="DN67" s="3"/>
      <c r="DO67" s="3"/>
      <c r="DP67" s="3"/>
      <c r="DQ67" s="3"/>
      <c r="DR67" s="3"/>
      <c r="DS67" s="3"/>
      <c r="DT67" s="3"/>
      <c r="DU67" s="3"/>
      <c r="DV67" s="3"/>
      <c r="DW67" s="3"/>
      <c r="DY67" s="1"/>
      <c r="DZ67" s="1"/>
    </row>
    <row r="68" spans="2:158" ht="18" customHeight="1" x14ac:dyDescent="0.25">
      <c r="B68" s="7"/>
      <c r="AP68" s="9"/>
      <c r="AR68" s="7"/>
      <c r="CF68" s="9"/>
      <c r="CI68" s="1" t="s">
        <v>93</v>
      </c>
      <c r="DB68" s="35"/>
      <c r="DC68" s="36"/>
      <c r="DD68" s="36"/>
      <c r="DE68" s="2"/>
      <c r="DF68" s="2"/>
      <c r="DI68" s="3"/>
      <c r="DJ68" s="3"/>
      <c r="DK68" s="3"/>
      <c r="DL68" s="3"/>
      <c r="DM68" s="3"/>
      <c r="DN68" s="3"/>
      <c r="DO68" s="3"/>
      <c r="DP68" s="3"/>
      <c r="DQ68" s="3"/>
      <c r="DR68" s="3"/>
      <c r="DS68" s="3"/>
      <c r="DT68" s="3"/>
      <c r="DU68" s="3"/>
      <c r="DV68" s="3"/>
      <c r="DW68" s="3"/>
      <c r="DY68" s="1"/>
      <c r="DZ68" s="1"/>
    </row>
    <row r="69" spans="2:158" ht="18" customHeight="1" x14ac:dyDescent="0.25">
      <c r="B69" s="7"/>
      <c r="AP69" s="9"/>
      <c r="AR69" s="7"/>
      <c r="CF69" s="9"/>
      <c r="CI69" s="47" t="str">
        <f>"This analysis evaluates the starting performance of a "&amp;TEXT(P37,"#,##0")&amp;" HP, "&amp;P36&amp;" kV motor supplied from a "&amp;P24&amp;" kV utility system at the point of common coupling (PCC). The available utility short-circuit strength at the PCC is "&amp;P25&amp;" kA (3-phase) with an X/R ratio of "&amp;P26&amp;", feeding the motor through a "&amp;P28&amp;" MVA, "&amp;P24&amp;" kV–"&amp;P29&amp;" kV step-down transformer with "&amp;P30&amp;"% leakage impedance.
The motor has a full-load current (FLA) of "&amp;P38&amp;" amps, a locked-rotor current (LRA) of "&amp;P41&amp;"% of FLA, a rated efficiency of "&amp;P40&amp;"%, and a power factor of "&amp;P39&amp;"%. To enhance starting performance and mitigate system disturbances, a starting reactor rated at "&amp;P33&amp;" ohms is coordinated with a "&amp;P45&amp;" MVAR, "&amp;P44&amp;" kV, "&amp;P46&amp;"-stage MotorVAR system to provide controlled, high-performance starting assistance."</f>
        <v>This analysis evaluates the starting performance of a 9,923 HP, 12.47 kV motor supplied from a 34.5 kV utility system at the point of common coupling (PCC). The available utility short-circuit strength at the PCC is 1.2 kA (3-phase) with an X/R ratio of 7, feeding the motor through a 40 MVA, 34.5 kV–12.47 kV step-down transformer with 7.5% leakage impedance.
The motor has a full-load current (FLA) of 351.9 amps, a locked-rotor current (LRA) of 500% of FLA, a rated efficiency of 97.4%, and a power factor of 90%. To enhance starting performance and mitigate system disturbances, a starting reactor rated at 1.64 ohms is coordinated with a 25 MVAR, 12.47 kV, 4-stage MotorVAR system to provide controlled, high-performance starting assistance.</v>
      </c>
      <c r="DB69" s="35"/>
      <c r="DC69" s="36"/>
      <c r="DD69" s="36"/>
      <c r="DE69" s="2"/>
      <c r="DF69" s="2"/>
      <c r="DI69" s="3"/>
      <c r="DJ69" s="3"/>
      <c r="DK69" s="3"/>
      <c r="DL69" s="3"/>
      <c r="DM69" s="3"/>
      <c r="DN69" s="3"/>
      <c r="DO69" s="3"/>
      <c r="DP69" s="3"/>
      <c r="DQ69" s="3"/>
      <c r="DR69" s="3"/>
      <c r="DS69" s="3"/>
      <c r="DT69" s="3"/>
      <c r="DU69" s="3"/>
      <c r="DV69" s="3"/>
      <c r="DW69" s="3"/>
      <c r="DY69" s="1"/>
      <c r="DZ69" s="1"/>
    </row>
    <row r="70" spans="2:158" ht="18" customHeight="1" x14ac:dyDescent="0.25">
      <c r="B70" s="7"/>
      <c r="AP70" s="9"/>
      <c r="AR70" s="7"/>
      <c r="CF70" s="9"/>
      <c r="DB70" s="35"/>
      <c r="DC70" s="36"/>
      <c r="DD70" s="36"/>
      <c r="DE70" s="2"/>
      <c r="DF70" s="2"/>
      <c r="DI70" s="3"/>
      <c r="DJ70" s="3"/>
      <c r="DK70" s="3"/>
      <c r="DL70" s="3"/>
      <c r="DM70" s="3"/>
      <c r="DN70" s="3"/>
      <c r="DO70" s="3"/>
      <c r="DP70" s="3"/>
      <c r="DQ70" s="3"/>
      <c r="DR70" s="3"/>
      <c r="DS70" s="3"/>
      <c r="DT70" s="3"/>
      <c r="DU70" s="3"/>
      <c r="DV70" s="3"/>
      <c r="DW70" s="3"/>
      <c r="DY70" s="1"/>
      <c r="DZ70" s="1"/>
    </row>
    <row r="71" spans="2:158" ht="18" customHeight="1" x14ac:dyDescent="0.25">
      <c r="B71" s="7"/>
      <c r="AP71" s="9"/>
      <c r="AR71" s="7"/>
      <c r="CF71" s="9"/>
      <c r="CI71" s="1" t="s">
        <v>94</v>
      </c>
      <c r="DB71" s="35"/>
      <c r="DC71" s="36"/>
      <c r="DD71" s="36"/>
      <c r="DE71" s="2"/>
      <c r="DF71" s="2"/>
      <c r="DI71" s="3"/>
      <c r="DJ71" s="3"/>
      <c r="DK71" s="3"/>
      <c r="DL71" s="3"/>
      <c r="DM71" s="3"/>
      <c r="DN71" s="3"/>
      <c r="DO71" s="3"/>
      <c r="DP71" s="3"/>
      <c r="DQ71" s="3"/>
      <c r="DR71" s="3"/>
      <c r="DS71" s="3"/>
      <c r="DT71" s="3"/>
      <c r="DU71" s="3"/>
      <c r="DV71" s="3"/>
      <c r="DW71" s="3"/>
      <c r="DY71" s="1"/>
      <c r="DZ71" s="1"/>
    </row>
    <row r="72" spans="2:158" ht="18" customHeight="1" x14ac:dyDescent="0.25">
      <c r="B72" s="7"/>
      <c r="AP72" s="9"/>
      <c r="AR72" s="7"/>
      <c r="CF72" s="9"/>
      <c r="CI72" s="47" t="str">
        <f>"Without MotorVAR or reactor start assistance, the motor draws approximately "&amp;ROUND(DJ8,1)&amp;" amps ("&amp;ROUND(DJ9*100,1)&amp;"% of FLA) during starting. This high inrush current results in a significant voltage drop, with motor terminal voltage dropping to approximately "&amp;BH13&amp;", or "&amp;ROUND(BH14*100,1)&amp;"% of rated voltage. As a result, available starting torque is reduced to roughly "&amp;ROUND(BH15*100,1)&amp;"% of rated torque, increasing the likelihood of extended acceleration times or a stalled start condition.
From a system perspective, voltage at the "&amp;P24&amp;" kV PCC drops to approximately "&amp;BH21&amp;", or "&amp;ROUND(BH22*100,1)&amp;"% of nominal, while the "&amp;P29&amp;" kV secondary bus voltage falls to "&amp;BH25&amp;", or "&amp;ROUND(BH26*100,1)&amp;"% of rated voltage. These correspond to voltage drops of "&amp;ROUND(BH23*100,1)&amp;"% at the PCC and "&amp;ROUND(BH27*100,1)&amp;"% at the secondary bus. Typical design objectives require no less than 96% voltage at the PCC and 90% voltage at the motor bus during starting. When these criteria are not met, alternative starting methods are usually evaluated."</f>
        <v>Without MotorVAR or reactor start assistance, the motor draws approximately 1099.8 amps (312.5% of FLA) during starting. This high inrush current results in a significant voltage drop, with motor terminal voltage dropping to approximately 7.79 kV, or 62.5% of rated voltage. As a result, available starting torque is reduced to roughly 39.1% of rated torque, increasing the likelihood of extended acceleration times or a stalled start condition.
From a system perspective, voltage at the 34.5 kV PCC drops to approximately 23.08 kV, or 66.9% of nominal, while the 12.47 kV secondary bus voltage falls to 7.79 kV, or 62.5% of rated voltage. These correspond to voltage drops of 33.1% at the PCC and 37.5% at the secondary bus. Typical design objectives require no less than 96% voltage at the PCC and 90% voltage at the motor bus during starting. When these criteria are not met, alternative starting methods are usually evaluated.</v>
      </c>
      <c r="DB72" s="35"/>
      <c r="DC72" s="36"/>
      <c r="DD72" s="36"/>
      <c r="DE72" s="2"/>
      <c r="DF72" s="2"/>
      <c r="DI72" s="3"/>
      <c r="DJ72" s="3"/>
      <c r="DK72" s="3"/>
      <c r="DL72" s="3"/>
      <c r="DM72" s="3"/>
      <c r="DN72" s="3"/>
      <c r="DO72" s="3"/>
      <c r="DP72" s="3"/>
      <c r="DQ72" s="3"/>
      <c r="DR72" s="3"/>
      <c r="DS72" s="3"/>
      <c r="DT72" s="3"/>
      <c r="DU72" s="3"/>
      <c r="DV72" s="3"/>
      <c r="DW72" s="3"/>
      <c r="DY72" s="1"/>
      <c r="DZ72" s="1"/>
    </row>
    <row r="73" spans="2:158" ht="18" customHeight="1" x14ac:dyDescent="0.25">
      <c r="B73" s="7"/>
      <c r="AP73" s="9"/>
      <c r="AR73" s="7"/>
      <c r="CF73" s="9"/>
      <c r="DB73" s="35"/>
      <c r="DC73" s="36"/>
      <c r="DD73" s="36"/>
      <c r="DE73" s="2"/>
      <c r="DF73" s="2"/>
      <c r="DI73" s="3"/>
      <c r="DJ73" s="3"/>
      <c r="DK73" s="3"/>
      <c r="DL73" s="3"/>
      <c r="DM73" s="3"/>
      <c r="DN73" s="3"/>
      <c r="DO73" s="3"/>
      <c r="DP73" s="3"/>
      <c r="DQ73" s="3"/>
      <c r="DR73" s="3"/>
      <c r="DS73" s="3"/>
      <c r="DT73" s="3"/>
      <c r="DU73" s="3"/>
      <c r="DV73" s="3"/>
      <c r="DW73" s="3"/>
      <c r="DY73" s="1"/>
      <c r="DZ73" s="1"/>
    </row>
    <row r="74" spans="2:158" ht="18" customHeight="1" x14ac:dyDescent="0.3">
      <c r="B74" s="7"/>
      <c r="C74" s="28" t="s">
        <v>206</v>
      </c>
      <c r="AP74" s="9"/>
      <c r="AR74" s="7"/>
      <c r="CF74" s="9"/>
      <c r="CI74" s="1" t="s">
        <v>95</v>
      </c>
      <c r="DB74" s="35"/>
      <c r="DC74" s="36"/>
      <c r="DD74" s="36"/>
      <c r="DE74" s="2"/>
      <c r="DF74" s="2"/>
      <c r="DI74" s="3"/>
      <c r="DJ74" s="3"/>
      <c r="DK74" s="3"/>
      <c r="DL74" s="3"/>
      <c r="DM74" s="3"/>
      <c r="DN74" s="3"/>
      <c r="DO74" s="3"/>
      <c r="DP74" s="3"/>
      <c r="DQ74" s="3"/>
      <c r="DR74" s="3"/>
      <c r="DS74" s="3"/>
      <c r="DT74" s="3"/>
      <c r="DU74" s="3"/>
      <c r="DV74" s="3"/>
      <c r="DW74" s="3"/>
      <c r="DY74" s="1"/>
      <c r="DZ74" s="1"/>
    </row>
    <row r="75" spans="2:158" ht="18" customHeight="1" x14ac:dyDescent="0.25">
      <c r="B75" s="7"/>
      <c r="AP75" s="9"/>
      <c r="AR75" s="7"/>
      <c r="CC75" s="54"/>
      <c r="CE75" s="54"/>
      <c r="CF75" s="9"/>
      <c r="CI75" s="48" t="str">
        <f>"When adding a coordinated line reactor, the combined MotorVAR + Reactor system provides additional improvement in overall system performance compared to a MotorVAR-only solution. During motor starting, the "&amp;P24&amp;" kV bus voltage improves from "&amp;ROUND(BP22*100,1)&amp;"% to "&amp;ROUND(BX22*100,1)&amp;"% of nominal, while the "&amp;P29&amp;"kV bus voltage improves from "&amp;ROUND(BP26*100,1)&amp;"% to "&amp;ROUND(BX26*100,1)&amp;"%.
This improvement is driven by the current-limiting action of the line reactor ("&amp;P33&amp;" ohms). While current limiting improves voltage performance, it also reduces the current delivered to the motor and, consequently, the available starting torque. In this case, motor starting torque is reduced from "&amp;ROUND(BP15*100,1)&amp;"% with MotorVAR only to approximately "&amp;ROUND(BY15*100,1)&amp;"% with the combined MotorVAR + Reactor system.
It is therefore critical to verify that the available starting torque remains sufficient to accelerate the driven load under all expected starting conditions."</f>
        <v>When adding a coordinated line reactor, the combined MotorVAR + Reactor system provides additional improvement in overall system performance compared to a MotorVAR-only solution. During motor starting, the 34.5 kV bus voltage improves from 84.5% to 96.5% of nominal, while the 12.47kV bus voltage improves from 82.6% to 96.2%.
This improvement is driven by the current-limiting action of the line reactor (1.64 ohms). While current limiting improves voltage performance, it also reduces the current delivered to the motor and, consequently, the available starting torque. In this case, motor starting torque is reduced from 68.2% with MotorVAR only to approximately 47.5% with the combined MotorVAR + Reactor system.
It is therefore critical to verify that the available starting torque remains sufficient to accelerate the driven load under all expected starting conditions.</v>
      </c>
      <c r="DB75" s="35"/>
      <c r="DC75" s="36"/>
      <c r="DD75" s="36"/>
      <c r="DE75" s="2"/>
      <c r="DF75" s="2"/>
      <c r="DI75" s="3"/>
      <c r="DJ75" s="3"/>
      <c r="DK75" s="3"/>
      <c r="DL75" s="3"/>
      <c r="DM75" s="3"/>
      <c r="DN75" s="3"/>
      <c r="DO75" s="3"/>
      <c r="DP75" s="3"/>
      <c r="DQ75" s="3"/>
      <c r="DR75" s="3"/>
      <c r="DS75" s="3"/>
      <c r="DT75" s="3"/>
      <c r="DU75" s="3"/>
      <c r="DV75" s="3"/>
      <c r="DW75" s="3"/>
      <c r="DY75" s="1"/>
      <c r="DZ75" s="1"/>
    </row>
    <row r="76" spans="2:158" ht="18" customHeight="1" x14ac:dyDescent="0.25">
      <c r="B76" s="7"/>
      <c r="AP76" s="9"/>
      <c r="AR76" s="7"/>
      <c r="CF76" s="9"/>
      <c r="CI76" s="1" t="s">
        <v>207</v>
      </c>
    </row>
    <row r="77" spans="2:158" ht="18" customHeight="1" x14ac:dyDescent="0.25">
      <c r="B77" s="7"/>
      <c r="AP77" s="9"/>
      <c r="AR77" s="7"/>
      <c r="CF77" s="9"/>
      <c r="CI77" s="1" t="str">
        <f>"With the MotorVAR system engaged and line reactor out of service or bypassed, the motor starting performance improves significantly. Motor starting current increases to approximately "&amp;ROUND(GB26,1)&amp;" amps ("&amp;ROUND(GB27*100,1)&amp;"% of FLA), while motor terminal voltage is maintained near "&amp;ROUND(GB11/1000,2)&amp;" kV, or "&amp;ROUND(GB16*100,1)&amp;"% of rated voltage. This allows the motor to develop approximately "&amp;ROUND(GB28*100,1)&amp;"% of rated torque during starting, resulting in stronger acceleration and improved starting stability. 
System voltage performance is also significantly improved. Voltage at the "&amp;ROUND(P24,1)&amp;"kV PCC and the "&amp;ROUND(P29,1)&amp;"kV secondary bus are maintained at approximately "&amp;ROUND(BX22*100,1)&amp;"% and "&amp;ROUND(BX26*100,1)&amp;"% of nominal, respectively. The starting current reflected into the "&amp;ROUND(P24,1)&amp;"kV and "&amp;ROUND(P29,1)&amp;"kV systems is reduced to approximately "&amp;ROUND(BP32*100,1)&amp;" %FLA, substantially mitigating upstream system disturbances. As the motor transitions into synchronism, the "&amp;ROUND(P46,1)&amp;" stage MotorVAR system limits the voltage fluctuations to approximately "&amp;BS33&amp;"% of the nominal voltage at the "&amp;ROUND(P36,1)&amp;"kV bus."</f>
        <v>With the MotorVAR system engaged and line reactor out of service or bypassed, the motor starting performance improves significantly. Motor starting current increases to approximately 1453.5 amps (413% of FLA), while motor terminal voltage is maintained near 10.3 kV, or 82.6% of rated voltage. This allows the motor to develop approximately 68.2% of rated torque during starting, resulting in stronger acceleration and improved starting stability. 
System voltage performance is also significantly improved. Voltage at the 34.5kV PCC and the 12.5kV secondary bus are maintained at approximately 96.5% and 96.2% of nominal, respectively. The starting current reflected into the 34.5kV and 12.5kV systems is reduced to approximately 156.3 %FLA, substantially mitigating upstream system disturbances. As the motor transitions into synchronism, the 4 stage MotorVAR system limits the voltage fluctuations to approximately ±4.95%% of the nominal voltage at the 12.5kV bus.</v>
      </c>
      <c r="ES77" s="3"/>
      <c r="ET77" s="3"/>
      <c r="EU77" s="3"/>
      <c r="EV77" s="3"/>
      <c r="EW77" s="3"/>
      <c r="EX77" s="3"/>
      <c r="EY77" s="3"/>
      <c r="EZ77" s="3"/>
      <c r="FA77" s="3"/>
      <c r="FB77" s="3"/>
    </row>
    <row r="78" spans="2:158" ht="18" customHeight="1" x14ac:dyDescent="0.25">
      <c r="B78" s="7"/>
      <c r="AP78" s="9"/>
      <c r="AR78" s="7"/>
      <c r="CF78" s="9"/>
      <c r="ES78" s="3"/>
      <c r="ET78" s="3"/>
      <c r="EU78" s="3"/>
      <c r="EV78" s="3"/>
      <c r="EW78" s="3"/>
      <c r="EX78" s="3"/>
      <c r="EY78" s="3"/>
      <c r="EZ78" s="3"/>
      <c r="FA78" s="3"/>
      <c r="FB78" s="3"/>
    </row>
    <row r="79" spans="2:158" ht="18" customHeight="1" x14ac:dyDescent="0.25">
      <c r="B79" s="7"/>
      <c r="AP79" s="9"/>
      <c r="AR79" s="7"/>
      <c r="CF79" s="9"/>
      <c r="ES79" s="3"/>
      <c r="ET79" s="3"/>
      <c r="EU79" s="3"/>
      <c r="EV79" s="3"/>
      <c r="EW79" s="3"/>
      <c r="EX79" s="3"/>
      <c r="EY79" s="3"/>
      <c r="EZ79" s="3"/>
      <c r="FA79" s="3"/>
      <c r="FB79" s="3"/>
    </row>
    <row r="80" spans="2:158" ht="18" customHeight="1" x14ac:dyDescent="0.25">
      <c r="B80" s="7"/>
      <c r="AP80" s="9"/>
      <c r="AR80" s="7"/>
      <c r="CF80" s="9"/>
      <c r="ES80" s="3"/>
      <c r="ET80" s="3"/>
      <c r="EU80" s="3"/>
      <c r="EV80" s="3"/>
      <c r="EW80" s="3"/>
      <c r="EX80" s="3"/>
      <c r="EY80" s="3"/>
      <c r="EZ80" s="3"/>
      <c r="FA80" s="3"/>
      <c r="FB80" s="3"/>
    </row>
    <row r="81" spans="2:158" ht="18" customHeight="1" x14ac:dyDescent="0.25">
      <c r="B81" s="7"/>
      <c r="AP81" s="9"/>
      <c r="AR81" s="7"/>
      <c r="CF81" s="9"/>
      <c r="ES81" s="3"/>
      <c r="ET81" s="3"/>
      <c r="EU81" s="3"/>
      <c r="EV81" s="3"/>
      <c r="EW81" s="3"/>
      <c r="EX81" s="3"/>
      <c r="EY81" s="3"/>
      <c r="EZ81" s="3"/>
      <c r="FA81" s="3"/>
      <c r="FB81" s="3"/>
    </row>
    <row r="82" spans="2:158" ht="18" customHeight="1" x14ac:dyDescent="0.25">
      <c r="B82" s="7"/>
      <c r="AP82" s="9"/>
      <c r="AR82" s="7"/>
      <c r="CF82" s="9"/>
    </row>
    <row r="83" spans="2:158" ht="18" customHeight="1" x14ac:dyDescent="0.25">
      <c r="B83" s="7"/>
      <c r="AP83" s="9"/>
      <c r="AR83" s="7"/>
      <c r="CF83" s="9"/>
    </row>
    <row r="84" spans="2:158" ht="18" customHeight="1" x14ac:dyDescent="0.3">
      <c r="B84" s="7"/>
      <c r="C84" s="28" t="s">
        <v>215</v>
      </c>
      <c r="AP84" s="9"/>
      <c r="AR84" s="7"/>
      <c r="CF84" s="9"/>
    </row>
    <row r="85" spans="2:158" ht="18" customHeight="1" x14ac:dyDescent="0.25">
      <c r="B85" s="7"/>
      <c r="AP85" s="9"/>
      <c r="AR85" s="7"/>
      <c r="CF85" s="9"/>
    </row>
    <row r="86" spans="2:158" ht="18" customHeight="1" x14ac:dyDescent="0.25">
      <c r="B86" s="7"/>
      <c r="AP86" s="9"/>
      <c r="AR86" s="7"/>
      <c r="CF86" s="9"/>
    </row>
    <row r="87" spans="2:158" ht="18" customHeight="1" x14ac:dyDescent="0.25">
      <c r="B87" s="7"/>
      <c r="AP87" s="9"/>
      <c r="AR87" s="7"/>
      <c r="CF87" s="9"/>
    </row>
    <row r="88" spans="2:158" ht="18" customHeight="1" x14ac:dyDescent="0.25">
      <c r="B88" s="7"/>
      <c r="AP88" s="9"/>
      <c r="AR88" s="7"/>
      <c r="CF88" s="9"/>
    </row>
    <row r="89" spans="2:158" ht="18" customHeight="1" x14ac:dyDescent="0.25">
      <c r="B89" s="7"/>
      <c r="AP89" s="9"/>
      <c r="AR89" s="7"/>
      <c r="CF89" s="9"/>
    </row>
    <row r="90" spans="2:158" ht="18" customHeight="1" x14ac:dyDescent="0.25">
      <c r="B90" s="7"/>
      <c r="AP90" s="9"/>
      <c r="AR90" s="7"/>
      <c r="CF90" s="9"/>
    </row>
    <row r="91" spans="2:158" ht="18" customHeight="1" x14ac:dyDescent="0.25">
      <c r="B91" s="7"/>
      <c r="AP91" s="9"/>
      <c r="AR91" s="7"/>
      <c r="CF91" s="9"/>
    </row>
    <row r="92" spans="2:158" ht="18" customHeight="1" x14ac:dyDescent="0.25">
      <c r="B92" s="7"/>
      <c r="AP92" s="9"/>
      <c r="AR92" s="7"/>
      <c r="CF92" s="9"/>
    </row>
    <row r="93" spans="2:158" ht="18" customHeight="1" x14ac:dyDescent="0.25">
      <c r="B93" s="7"/>
      <c r="AP93" s="9"/>
      <c r="AR93" s="7"/>
      <c r="CF93" s="9"/>
      <c r="DX93" s="35"/>
      <c r="DY93" s="36"/>
      <c r="DZ93" s="36"/>
      <c r="EA93" s="37"/>
    </row>
    <row r="94" spans="2:158" ht="18" customHeight="1" x14ac:dyDescent="0.25">
      <c r="B94" s="7"/>
      <c r="AP94" s="9"/>
      <c r="AR94" s="7"/>
      <c r="CF94" s="9"/>
    </row>
    <row r="95" spans="2:158" ht="18" customHeight="1" x14ac:dyDescent="0.25">
      <c r="B95" s="7"/>
      <c r="AP95" s="9"/>
      <c r="AR95" s="7"/>
      <c r="CF95" s="9"/>
    </row>
    <row r="96" spans="2:158"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row>
    <row r="97" spans="2:84" ht="18" customHeight="1" x14ac:dyDescent="0.25">
      <c r="B97" s="7"/>
      <c r="D97" s="43" t="s">
        <v>86</v>
      </c>
      <c r="AO97" s="19" t="s">
        <v>105</v>
      </c>
      <c r="AP97" s="9"/>
      <c r="AR97" s="7"/>
      <c r="AT97" s="43" t="s">
        <v>86</v>
      </c>
      <c r="CE97" s="19" t="s">
        <v>106</v>
      </c>
      <c r="CF97" s="9"/>
    </row>
    <row r="98" spans="2:84" ht="18" customHeight="1" x14ac:dyDescent="0.25">
      <c r="B98" s="44"/>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6"/>
      <c r="AR98" s="44"/>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6"/>
    </row>
    <row r="99" spans="2:84" ht="18" customHeight="1" x14ac:dyDescent="0.25"/>
    <row r="100" spans="2:84" ht="18" customHeight="1" x14ac:dyDescent="0.25">
      <c r="B100" s="4"/>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6"/>
      <c r="AR100" s="4"/>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6"/>
    </row>
    <row r="101" spans="2:84" ht="18" customHeight="1" x14ac:dyDescent="0.25">
      <c r="B101" s="7"/>
      <c r="AN101" s="8"/>
      <c r="AP101" s="9"/>
      <c r="AR101" s="7"/>
      <c r="CD101" s="8"/>
      <c r="CF101" s="9"/>
    </row>
    <row r="102" spans="2:84" ht="18" customHeight="1" x14ac:dyDescent="0.25">
      <c r="B102" s="7"/>
      <c r="AN102" s="10"/>
      <c r="AP102" s="9"/>
      <c r="AR102" s="7"/>
      <c r="CD102" s="10"/>
      <c r="CF102" s="9"/>
    </row>
    <row r="103" spans="2:84" ht="18" customHeight="1" thickBot="1" x14ac:dyDescent="0.3">
      <c r="B103" s="7"/>
      <c r="C103" s="11" t="s">
        <v>123</v>
      </c>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2"/>
      <c r="AO103" s="11"/>
      <c r="AP103" s="9"/>
      <c r="AR103" s="7"/>
      <c r="AS103" s="11" t="s">
        <v>123</v>
      </c>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2"/>
      <c r="CE103" s="11"/>
      <c r="CF103" s="9"/>
    </row>
    <row r="104" spans="2:84" ht="18" customHeight="1" x14ac:dyDescent="0.25">
      <c r="B104" s="7"/>
      <c r="AP104" s="9"/>
      <c r="AR104" s="7"/>
      <c r="CF104" s="9"/>
    </row>
    <row r="105" spans="2:84" ht="18" customHeight="1" x14ac:dyDescent="0.3">
      <c r="B105" s="7"/>
      <c r="C105" s="28" t="s">
        <v>187</v>
      </c>
      <c r="AP105" s="9"/>
      <c r="AR105" s="7"/>
      <c r="AS105" s="95" t="s">
        <v>190</v>
      </c>
      <c r="AT105" s="95"/>
      <c r="AU105" s="95"/>
      <c r="AV105" s="95"/>
      <c r="AW105" s="95"/>
      <c r="AX105" s="95"/>
      <c r="AY105" s="95"/>
      <c r="AZ105" s="95"/>
      <c r="BA105" s="95"/>
      <c r="BB105" s="95"/>
      <c r="BC105" s="95"/>
      <c r="BD105" s="95"/>
      <c r="BE105" s="95"/>
      <c r="BF105" s="95"/>
      <c r="BG105" s="95"/>
      <c r="BH105" s="95"/>
      <c r="BI105" s="95"/>
      <c r="BJ105" s="95"/>
      <c r="BK105" s="95"/>
      <c r="BL105" s="95"/>
      <c r="BM105" s="95"/>
      <c r="BN105" s="95"/>
      <c r="BO105" s="95"/>
      <c r="BP105" s="95"/>
      <c r="BQ105" s="95"/>
      <c r="BR105" s="95"/>
      <c r="BS105" s="95"/>
      <c r="BT105" s="95"/>
      <c r="BU105" s="95"/>
      <c r="BV105" s="95"/>
      <c r="BW105" s="95"/>
      <c r="BX105" s="95"/>
      <c r="BY105" s="95"/>
      <c r="BZ105" s="95"/>
      <c r="CA105" s="95"/>
      <c r="CB105" s="95"/>
      <c r="CC105" s="95"/>
      <c r="CD105" s="95"/>
      <c r="CE105" s="95"/>
      <c r="CF105" s="9"/>
    </row>
    <row r="106" spans="2:84" ht="18" customHeight="1" x14ac:dyDescent="0.25">
      <c r="B106" s="7"/>
      <c r="AP106" s="9"/>
      <c r="AR106" s="7"/>
      <c r="AS106" s="95"/>
      <c r="AT106" s="95"/>
      <c r="AU106" s="95"/>
      <c r="AV106" s="95"/>
      <c r="AW106" s="95"/>
      <c r="AX106" s="95"/>
      <c r="AY106" s="95"/>
      <c r="AZ106" s="95"/>
      <c r="BA106" s="95"/>
      <c r="BB106" s="95"/>
      <c r="BC106" s="95"/>
      <c r="BD106" s="95"/>
      <c r="BE106" s="95"/>
      <c r="BF106" s="95"/>
      <c r="BG106" s="95"/>
      <c r="BH106" s="95"/>
      <c r="BI106" s="95"/>
      <c r="BJ106" s="95"/>
      <c r="BK106" s="95"/>
      <c r="BL106" s="95"/>
      <c r="BM106" s="95"/>
      <c r="BN106" s="95"/>
      <c r="BO106" s="95"/>
      <c r="BP106" s="95"/>
      <c r="BQ106" s="95"/>
      <c r="BR106" s="95"/>
      <c r="BS106" s="95"/>
      <c r="BT106" s="95"/>
      <c r="BU106" s="95"/>
      <c r="BV106" s="95"/>
      <c r="BW106" s="95"/>
      <c r="BX106" s="95"/>
      <c r="BY106" s="95"/>
      <c r="BZ106" s="95"/>
      <c r="CA106" s="95"/>
      <c r="CB106" s="95"/>
      <c r="CC106" s="95"/>
      <c r="CD106" s="95"/>
      <c r="CE106" s="95"/>
      <c r="CF106" s="9"/>
    </row>
    <row r="107" spans="2:84" ht="18" customHeight="1" x14ac:dyDescent="0.3">
      <c r="B107" s="7"/>
      <c r="AP107" s="9"/>
      <c r="AR107" s="7"/>
      <c r="AS107" s="28" t="s">
        <v>208</v>
      </c>
      <c r="CF107" s="9"/>
    </row>
    <row r="108" spans="2:84" ht="18" customHeight="1" x14ac:dyDescent="0.25">
      <c r="B108" s="7"/>
      <c r="AP108" s="9"/>
      <c r="AR108" s="7"/>
      <c r="CF108" s="9"/>
    </row>
    <row r="109" spans="2:84" ht="18" customHeight="1" x14ac:dyDescent="0.25">
      <c r="B109" s="7"/>
      <c r="AP109" s="9"/>
      <c r="AR109" s="7"/>
      <c r="CF109" s="9"/>
    </row>
    <row r="110" spans="2:84" ht="18" customHeight="1" x14ac:dyDescent="0.25">
      <c r="B110" s="7"/>
      <c r="AP110" s="9"/>
      <c r="AR110" s="7"/>
      <c r="CF110" s="9"/>
    </row>
    <row r="111" spans="2:84" ht="18" customHeight="1" x14ac:dyDescent="0.25">
      <c r="B111" s="7"/>
      <c r="AP111" s="9"/>
      <c r="AR111" s="7"/>
      <c r="CF111" s="9"/>
    </row>
    <row r="112" spans="2:84" ht="18" customHeight="1" x14ac:dyDescent="0.25">
      <c r="B112" s="7"/>
      <c r="AP112" s="9"/>
      <c r="AR112" s="7"/>
      <c r="CF112" s="9"/>
    </row>
    <row r="113" spans="2:84" ht="18" customHeight="1" x14ac:dyDescent="0.25">
      <c r="B113" s="7"/>
      <c r="AP113" s="9"/>
      <c r="AR113" s="7"/>
      <c r="CF113" s="9"/>
    </row>
    <row r="114" spans="2:84" ht="18" customHeight="1" x14ac:dyDescent="0.25">
      <c r="B114" s="7"/>
      <c r="AP114" s="9"/>
      <c r="AR114" s="7"/>
      <c r="CF114" s="9"/>
    </row>
    <row r="115" spans="2:84" ht="18" customHeight="1" x14ac:dyDescent="0.25">
      <c r="B115" s="7"/>
      <c r="V115" s="1" t="str">
        <f>"Isc: "&amp;P25&amp;"kA"</f>
        <v>Isc: 1.2kA</v>
      </c>
      <c r="AP115" s="9"/>
      <c r="AR115" s="7"/>
      <c r="CF115" s="9"/>
    </row>
    <row r="116" spans="2:84" ht="18" customHeight="1" x14ac:dyDescent="0.25">
      <c r="B116" s="7"/>
      <c r="Q116" s="19" t="str">
        <f>P24&amp;"kV Bus"</f>
        <v>34.5kV Bus</v>
      </c>
      <c r="V116" s="1" t="str">
        <f>"X/R: "&amp;P26</f>
        <v>X/R: 7</v>
      </c>
      <c r="AP116" s="9"/>
      <c r="AR116" s="7"/>
      <c r="CF116" s="9"/>
    </row>
    <row r="117" spans="2:84" ht="18" customHeight="1" x14ac:dyDescent="0.25">
      <c r="B117" s="7"/>
      <c r="AP117" s="9"/>
      <c r="AR117" s="7"/>
      <c r="CF117" s="9"/>
    </row>
    <row r="118" spans="2:84" ht="18" customHeight="1" x14ac:dyDescent="0.25">
      <c r="B118" s="7"/>
      <c r="W118" s="1" t="str">
        <f>P28&amp;" MVA"</f>
        <v>40 MVA</v>
      </c>
      <c r="AP118" s="9"/>
      <c r="AR118" s="7"/>
      <c r="CF118" s="9"/>
    </row>
    <row r="119" spans="2:84" ht="18" customHeight="1" x14ac:dyDescent="0.25">
      <c r="B119" s="7"/>
      <c r="W119" s="1" t="str">
        <f>P30&amp;"%"</f>
        <v>7.5%</v>
      </c>
      <c r="AP119" s="9"/>
      <c r="AR119" s="7"/>
      <c r="CF119" s="9"/>
    </row>
    <row r="120" spans="2:84" ht="18" customHeight="1" x14ac:dyDescent="0.25">
      <c r="B120" s="7"/>
      <c r="AP120" s="9"/>
      <c r="AR120" s="7"/>
      <c r="CF120" s="9"/>
    </row>
    <row r="121" spans="2:84" ht="18" customHeight="1" x14ac:dyDescent="0.25">
      <c r="B121" s="7"/>
      <c r="O121" s="19" t="str">
        <f>P29&amp;"kV Bus"</f>
        <v>12.47kV Bus</v>
      </c>
      <c r="AP121" s="9"/>
      <c r="AR121" s="7"/>
      <c r="CF121" s="9"/>
    </row>
    <row r="122" spans="2:84" ht="18" customHeight="1" x14ac:dyDescent="0.25">
      <c r="B122" s="7"/>
      <c r="AP122" s="9"/>
      <c r="AR122" s="7"/>
      <c r="CF122" s="9"/>
    </row>
    <row r="123" spans="2:84" ht="18" customHeight="1" x14ac:dyDescent="0.25">
      <c r="B123" s="7"/>
      <c r="E123" s="87" t="s">
        <v>12</v>
      </c>
      <c r="AE123" s="213" t="s">
        <v>230</v>
      </c>
      <c r="AF123" s="213"/>
      <c r="AG123" s="213"/>
      <c r="AH123" s="213"/>
      <c r="AI123" s="213"/>
      <c r="AJ123" s="213"/>
      <c r="AK123" s="213"/>
      <c r="AL123" s="213"/>
      <c r="AP123" s="9"/>
      <c r="AR123" s="7"/>
      <c r="CF123" s="9"/>
    </row>
    <row r="124" spans="2:84" ht="18" customHeight="1" x14ac:dyDescent="0.25">
      <c r="B124" s="7"/>
      <c r="AE124" s="1" t="str">
        <f>ROUND(P33,2)&amp;" ohms"</f>
        <v>1.64 ohms</v>
      </c>
      <c r="AP124" s="9"/>
      <c r="AR124" s="7"/>
      <c r="CF124" s="9"/>
    </row>
    <row r="125" spans="2:84" ht="18" customHeight="1" x14ac:dyDescent="0.25">
      <c r="B125" s="7"/>
      <c r="Y125" s="19" t="s">
        <v>232</v>
      </c>
      <c r="AE125" s="1" t="str">
        <f>"X/R:"&amp;ROUND(P34,2)</f>
        <v>X/R:100</v>
      </c>
      <c r="AP125" s="9"/>
      <c r="AR125" s="7"/>
      <c r="CF125" s="9"/>
    </row>
    <row r="126" spans="2:84" ht="18" customHeight="1" x14ac:dyDescent="0.25">
      <c r="B126" s="7"/>
      <c r="AP126" s="9"/>
      <c r="AR126" s="7"/>
      <c r="CF126" s="9"/>
    </row>
    <row r="127" spans="2:84" ht="18" customHeight="1" x14ac:dyDescent="0.25">
      <c r="B127" s="7"/>
      <c r="AP127" s="9"/>
      <c r="AR127" s="7"/>
      <c r="CF127" s="9"/>
    </row>
    <row r="128" spans="2:84" ht="18" customHeight="1" x14ac:dyDescent="0.25">
      <c r="B128" s="7"/>
      <c r="AP128" s="9"/>
      <c r="AR128" s="7"/>
      <c r="CF128" s="9"/>
    </row>
    <row r="129" spans="2:84" ht="18" customHeight="1" x14ac:dyDescent="0.25">
      <c r="B129" s="7"/>
      <c r="AP129" s="9"/>
      <c r="AR129" s="7"/>
      <c r="CF129" s="9"/>
    </row>
    <row r="130" spans="2:84" ht="18" customHeight="1" x14ac:dyDescent="0.25">
      <c r="B130" s="7"/>
      <c r="AP130" s="9"/>
      <c r="AR130" s="7"/>
      <c r="CF130" s="9"/>
    </row>
    <row r="131" spans="2:84" ht="18" customHeight="1" x14ac:dyDescent="0.25">
      <c r="B131" s="7"/>
      <c r="Y131" s="100" t="str">
        <f>TEXT(P37,"#,##0") &amp;"HP, "&amp;P36&amp;"kV"</f>
        <v>9,923HP, 12.47kV</v>
      </c>
      <c r="Z131" s="100"/>
      <c r="AA131" s="100"/>
      <c r="AB131" s="100"/>
      <c r="AC131" s="100"/>
      <c r="AD131" s="100"/>
      <c r="AP131" s="9"/>
      <c r="AR131" s="7"/>
      <c r="CF131" s="9"/>
    </row>
    <row r="132" spans="2:84" ht="18" customHeight="1" x14ac:dyDescent="0.25">
      <c r="B132" s="7"/>
      <c r="Y132" s="100" t="str">
        <f>"LRA: "&amp;P41&amp;"%"</f>
        <v>LRA: 500%</v>
      </c>
      <c r="Z132" s="100"/>
      <c r="AA132" s="100"/>
      <c r="AB132" s="100"/>
      <c r="AC132" s="100"/>
      <c r="AD132" s="100"/>
      <c r="AP132" s="9"/>
      <c r="AR132" s="7"/>
      <c r="CF132" s="9"/>
    </row>
    <row r="133" spans="2:84" ht="18" customHeight="1" x14ac:dyDescent="0.25">
      <c r="B133" s="7"/>
      <c r="Y133" s="100" t="str">
        <f>"FLA: "&amp;P38&amp;"A"</f>
        <v>FLA: 351.9A</v>
      </c>
      <c r="Z133" s="100"/>
      <c r="AA133" s="100"/>
      <c r="AB133" s="100"/>
      <c r="AC133" s="100"/>
      <c r="AD133" s="100"/>
      <c r="AP133" s="9"/>
      <c r="AR133" s="7"/>
      <c r="CF133" s="9"/>
    </row>
    <row r="134" spans="2:84" ht="18" customHeight="1" x14ac:dyDescent="0.25">
      <c r="B134" s="7"/>
      <c r="AP134" s="9"/>
      <c r="AR134" s="7"/>
      <c r="CF134" s="9"/>
    </row>
    <row r="135" spans="2:84" ht="18" customHeight="1" x14ac:dyDescent="0.25">
      <c r="B135" s="7"/>
      <c r="W135" s="177" t="str">
        <f>"Voltage change per stage at the "&amp;P29&amp;" kV Bus:"</f>
        <v>Voltage change per stage at the 12.47 kV Bus:</v>
      </c>
      <c r="X135" s="177"/>
      <c r="Y135" s="177"/>
      <c r="Z135" s="177"/>
      <c r="AA135" s="177"/>
      <c r="AB135" s="177"/>
      <c r="AC135" s="177"/>
      <c r="AD135" s="177"/>
      <c r="AE135" s="177"/>
      <c r="AF135" s="177"/>
      <c r="AG135" s="177"/>
      <c r="AH135" s="177"/>
      <c r="AI135" s="177"/>
      <c r="AJ135" s="177"/>
      <c r="AK135" s="177"/>
      <c r="AL135" s="177" t="str">
        <f>"±"&amp;ROUND((100*P45/P46)/DL57/2,2)&amp;"%"</f>
        <v>±4.95%</v>
      </c>
      <c r="AM135" s="177"/>
      <c r="AN135" s="177"/>
      <c r="AO135" s="177"/>
      <c r="AP135" s="9"/>
      <c r="AR135" s="7"/>
      <c r="CF135" s="9"/>
    </row>
    <row r="136" spans="2:84" ht="18" customHeight="1" x14ac:dyDescent="0.25">
      <c r="B136" s="7"/>
      <c r="AP136" s="9"/>
      <c r="AR136" s="7"/>
      <c r="AS136" s="95" t="s">
        <v>217</v>
      </c>
      <c r="AT136" s="96"/>
      <c r="AU136" s="96"/>
      <c r="AV136" s="96"/>
      <c r="AW136" s="96"/>
      <c r="AX136" s="96"/>
      <c r="AY136" s="96"/>
      <c r="AZ136" s="96"/>
      <c r="BA136" s="96"/>
      <c r="BB136" s="96"/>
      <c r="BC136" s="96"/>
      <c r="BD136" s="96"/>
      <c r="BE136" s="96"/>
      <c r="BF136" s="96"/>
      <c r="BG136" s="96"/>
      <c r="BH136" s="96"/>
      <c r="BI136" s="96"/>
      <c r="BJ136" s="96"/>
      <c r="BK136" s="96"/>
      <c r="BL136" s="96"/>
      <c r="BM136" s="96"/>
      <c r="BN136" s="96"/>
      <c r="BO136" s="96"/>
      <c r="BP136" s="96"/>
      <c r="BQ136" s="96"/>
      <c r="BR136" s="96"/>
      <c r="BS136" s="96"/>
      <c r="BT136" s="96"/>
      <c r="BU136" s="96"/>
      <c r="BV136" s="96"/>
      <c r="BW136" s="96"/>
      <c r="BX136" s="96"/>
      <c r="BY136" s="96"/>
      <c r="BZ136" s="96"/>
      <c r="CA136" s="96"/>
      <c r="CB136" s="96"/>
      <c r="CC136" s="96"/>
      <c r="CD136" s="96"/>
      <c r="CE136" s="96"/>
      <c r="CF136" s="9"/>
    </row>
    <row r="137" spans="2:84" ht="18" customHeight="1" thickBot="1" x14ac:dyDescent="0.3">
      <c r="B137" s="7"/>
      <c r="L137" s="101" t="s">
        <v>212</v>
      </c>
      <c r="M137" s="101"/>
      <c r="N137" s="101"/>
      <c r="O137" s="101"/>
      <c r="P137" s="101"/>
      <c r="Q137" s="101"/>
      <c r="R137" s="101"/>
      <c r="S137" s="101"/>
      <c r="AA137" s="178" t="s">
        <v>213</v>
      </c>
      <c r="AB137" s="178"/>
      <c r="AC137" s="178"/>
      <c r="AD137" s="178"/>
      <c r="AE137" s="178"/>
      <c r="AF137" s="178"/>
      <c r="AG137" s="178"/>
      <c r="AH137" s="178"/>
      <c r="AI137" s="178"/>
      <c r="AJ137" s="178"/>
      <c r="AK137" s="178"/>
      <c r="AL137" s="178"/>
      <c r="AM137" s="178"/>
      <c r="AN137" s="178"/>
      <c r="AO137" s="178"/>
      <c r="AP137" s="9"/>
      <c r="AR137" s="7"/>
      <c r="AS137" s="97" t="s">
        <v>218</v>
      </c>
      <c r="AT137" s="97"/>
      <c r="AU137" s="97"/>
      <c r="AV137" s="97"/>
      <c r="AW137" s="97"/>
      <c r="AX137" s="97"/>
      <c r="AY137" s="97"/>
      <c r="AZ137" s="97"/>
      <c r="BA137" s="97"/>
      <c r="BB137" s="97"/>
      <c r="BC137" s="97"/>
      <c r="BD137" s="97"/>
      <c r="BE137" s="97"/>
      <c r="BF137" s="97"/>
      <c r="BG137" s="97"/>
      <c r="BH137" s="97"/>
      <c r="BI137" s="97"/>
      <c r="BJ137" s="97"/>
      <c r="BK137" s="97"/>
      <c r="BL137" s="97"/>
      <c r="BM137" s="97"/>
      <c r="BN137" s="97"/>
      <c r="BO137" s="97"/>
      <c r="BP137" s="97"/>
      <c r="BQ137" s="97"/>
      <c r="BR137" s="97"/>
      <c r="BS137" s="97"/>
      <c r="BT137" s="97"/>
      <c r="BU137" s="97"/>
      <c r="BV137" s="97"/>
      <c r="BW137" s="97"/>
      <c r="BX137" s="97"/>
      <c r="BY137" s="97"/>
      <c r="BZ137" s="97"/>
      <c r="CA137" s="97"/>
      <c r="CB137" s="97"/>
      <c r="CC137" s="97"/>
      <c r="CD137" s="97"/>
      <c r="CE137" s="97"/>
      <c r="CF137" s="9"/>
    </row>
    <row r="138" spans="2:84" ht="18" customHeight="1" x14ac:dyDescent="0.25">
      <c r="B138" s="7"/>
      <c r="L138" s="100" t="str">
        <f>P44&amp;"KV, "&amp;P45&amp;" MVAR"</f>
        <v>12.47KV, 25 MVAR</v>
      </c>
      <c r="M138" s="100"/>
      <c r="N138" s="100"/>
      <c r="O138" s="100"/>
      <c r="P138" s="100"/>
      <c r="Q138" s="100"/>
      <c r="R138" s="100"/>
      <c r="S138" s="100"/>
      <c r="AA138" s="76" t="s">
        <v>214</v>
      </c>
      <c r="AB138" s="76"/>
      <c r="AC138" s="76"/>
      <c r="AD138" s="76"/>
      <c r="AE138" s="76"/>
      <c r="AF138" s="76"/>
      <c r="AG138" s="76"/>
      <c r="AH138" s="76"/>
      <c r="AI138" s="76"/>
      <c r="AJ138" s="76"/>
      <c r="AK138" s="76"/>
      <c r="AL138" s="76"/>
      <c r="AM138" s="76"/>
      <c r="AN138" s="76"/>
      <c r="AP138" s="9"/>
      <c r="AR138" s="7"/>
      <c r="AS138" s="97"/>
      <c r="AT138" s="97"/>
      <c r="AU138" s="97"/>
      <c r="AV138" s="97"/>
      <c r="AW138" s="97"/>
      <c r="AX138" s="97"/>
      <c r="AY138" s="97"/>
      <c r="AZ138" s="97"/>
      <c r="BA138" s="97"/>
      <c r="BB138" s="97"/>
      <c r="BC138" s="97"/>
      <c r="BD138" s="97"/>
      <c r="BE138" s="97"/>
      <c r="BF138" s="97"/>
      <c r="BG138" s="97"/>
      <c r="BH138" s="97"/>
      <c r="BI138" s="97"/>
      <c r="BJ138" s="97"/>
      <c r="BK138" s="97"/>
      <c r="BL138" s="97"/>
      <c r="BM138" s="97"/>
      <c r="BN138" s="97"/>
      <c r="BO138" s="97"/>
      <c r="BP138" s="97"/>
      <c r="BQ138" s="97"/>
      <c r="BR138" s="97"/>
      <c r="BS138" s="97"/>
      <c r="BT138" s="97"/>
      <c r="BU138" s="97"/>
      <c r="BV138" s="97"/>
      <c r="BW138" s="97"/>
      <c r="BX138" s="97"/>
      <c r="BY138" s="97"/>
      <c r="BZ138" s="97"/>
      <c r="CA138" s="97"/>
      <c r="CB138" s="97"/>
      <c r="CC138" s="97"/>
      <c r="CD138" s="97"/>
      <c r="CE138" s="97"/>
      <c r="CF138" s="9"/>
    </row>
    <row r="139" spans="2:84" ht="18" customHeight="1" x14ac:dyDescent="0.25">
      <c r="B139" s="7"/>
      <c r="L139" s="100" t="str">
        <f>P46&amp;" Stage MotorVAR"</f>
        <v>4 Stage MotorVAR</v>
      </c>
      <c r="M139" s="100"/>
      <c r="N139" s="100"/>
      <c r="O139" s="100"/>
      <c r="P139" s="100"/>
      <c r="Q139" s="100"/>
      <c r="R139" s="100"/>
      <c r="S139" s="100"/>
      <c r="AA139" s="86" t="s">
        <v>228</v>
      </c>
      <c r="AB139" s="86"/>
      <c r="AC139" s="86"/>
      <c r="AD139" s="86"/>
      <c r="AE139" s="86"/>
      <c r="AF139" s="86"/>
      <c r="AG139" s="86"/>
      <c r="AH139" s="86"/>
      <c r="AI139" s="86"/>
      <c r="AJ139" s="86"/>
      <c r="AK139" s="86"/>
      <c r="AL139" s="86"/>
      <c r="AM139" s="86"/>
      <c r="AN139" s="86"/>
      <c r="AO139" s="31"/>
      <c r="AP139" s="9"/>
      <c r="AR139" s="7"/>
      <c r="AS139" s="97"/>
      <c r="AT139" s="97"/>
      <c r="AU139" s="97"/>
      <c r="AV139" s="97"/>
      <c r="AW139" s="97"/>
      <c r="AX139" s="9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
    </row>
    <row r="140" spans="2:84" ht="18" customHeight="1" x14ac:dyDescent="0.25">
      <c r="B140" s="7"/>
      <c r="AA140" s="75" t="s">
        <v>229</v>
      </c>
      <c r="AB140" s="75"/>
      <c r="AC140" s="75"/>
      <c r="AD140" s="75"/>
      <c r="AE140" s="75"/>
      <c r="AF140" s="75"/>
      <c r="AG140" s="75"/>
      <c r="AH140" s="75"/>
      <c r="AI140" s="75"/>
      <c r="AJ140" s="75"/>
      <c r="AK140" s="75"/>
      <c r="AL140" s="75"/>
      <c r="AM140" s="75"/>
      <c r="AN140" s="75"/>
      <c r="AP140" s="9"/>
      <c r="AR140" s="7"/>
      <c r="AS140" s="97"/>
      <c r="AT140" s="97"/>
      <c r="AU140" s="97"/>
      <c r="AV140" s="97"/>
      <c r="AW140" s="97"/>
      <c r="AX140" s="97"/>
      <c r="AY140" s="97"/>
      <c r="AZ140" s="97"/>
      <c r="BA140" s="97"/>
      <c r="BB140" s="97"/>
      <c r="BC140" s="97"/>
      <c r="BD140" s="97"/>
      <c r="BE140" s="97"/>
      <c r="BF140" s="97"/>
      <c r="BG140" s="97"/>
      <c r="BH140" s="97"/>
      <c r="BI140" s="97"/>
      <c r="BJ140" s="97"/>
      <c r="BK140" s="97"/>
      <c r="BL140" s="97"/>
      <c r="BM140" s="97"/>
      <c r="BN140" s="97"/>
      <c r="BO140" s="97"/>
      <c r="BP140" s="97"/>
      <c r="BQ140" s="97"/>
      <c r="BR140" s="97"/>
      <c r="BS140" s="97"/>
      <c r="BT140" s="97"/>
      <c r="BU140" s="97"/>
      <c r="BV140" s="97"/>
      <c r="BW140" s="97"/>
      <c r="BX140" s="97"/>
      <c r="BY140" s="97"/>
      <c r="BZ140" s="97"/>
      <c r="CA140" s="97"/>
      <c r="CB140" s="97"/>
      <c r="CC140" s="97"/>
      <c r="CD140" s="97"/>
      <c r="CE140" s="97"/>
      <c r="CF140" s="9"/>
    </row>
    <row r="141" spans="2:84" ht="18" customHeight="1" x14ac:dyDescent="0.25">
      <c r="B141" s="7"/>
      <c r="AP141" s="9"/>
      <c r="AR141" s="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
    </row>
    <row r="142" spans="2:84" ht="18" customHeight="1" x14ac:dyDescent="0.25">
      <c r="B142" s="7"/>
      <c r="AP142" s="9"/>
      <c r="AR142" s="7"/>
      <c r="AS142" s="88"/>
      <c r="AT142" s="88"/>
      <c r="AU142" s="88"/>
      <c r="AV142" s="88"/>
      <c r="AW142" s="88"/>
      <c r="AX142" s="88"/>
      <c r="AY142" s="88"/>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9"/>
    </row>
    <row r="143" spans="2:84" ht="18" customHeight="1" x14ac:dyDescent="0.25">
      <c r="B143" s="7"/>
      <c r="AP143" s="9"/>
      <c r="AR143" s="7"/>
      <c r="CF143" s="9"/>
    </row>
    <row r="144" spans="2:84" ht="18" customHeight="1" x14ac:dyDescent="0.25">
      <c r="B144" s="7"/>
      <c r="AP144" s="9"/>
      <c r="AR144" s="7"/>
      <c r="CF144" s="9"/>
    </row>
    <row r="145" spans="2:84" ht="18" customHeight="1" thickBot="1" x14ac:dyDescent="0.3">
      <c r="B145" s="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2"/>
      <c r="AP145" s="9"/>
      <c r="AR145" s="7"/>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2"/>
      <c r="CF145" s="9"/>
    </row>
    <row r="146" spans="2:84" ht="18" customHeight="1" x14ac:dyDescent="0.25">
      <c r="B146" s="7"/>
      <c r="D146" s="43" t="s">
        <v>86</v>
      </c>
      <c r="AO146" s="19" t="s">
        <v>107</v>
      </c>
      <c r="AP146" s="9"/>
      <c r="AR146" s="7"/>
      <c r="AT146" s="43" t="s">
        <v>86</v>
      </c>
      <c r="CE146" s="19" t="s">
        <v>108</v>
      </c>
      <c r="CF146" s="9"/>
    </row>
    <row r="147" spans="2:84" ht="18" customHeight="1" x14ac:dyDescent="0.25">
      <c r="B147" s="44"/>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6"/>
      <c r="AR147" s="44"/>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6"/>
    </row>
    <row r="148" spans="2:84" ht="18" customHeight="1" x14ac:dyDescent="0.25"/>
    <row r="149" spans="2:84" ht="18" customHeight="1" x14ac:dyDescent="0.25">
      <c r="B149" s="4"/>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6"/>
      <c r="AR149" s="4"/>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6"/>
    </row>
    <row r="150" spans="2:84" ht="18" customHeight="1" x14ac:dyDescent="0.25">
      <c r="B150" s="7"/>
      <c r="AN150" s="8"/>
      <c r="AP150" s="9"/>
      <c r="AR150" s="7"/>
      <c r="CD150" s="8"/>
      <c r="CF150" s="9"/>
    </row>
    <row r="151" spans="2:84" ht="18" customHeight="1" x14ac:dyDescent="0.25">
      <c r="B151" s="7"/>
      <c r="AN151" s="10"/>
      <c r="AP151" s="9"/>
      <c r="AR151" s="7"/>
      <c r="CD151" s="10"/>
      <c r="CF151" s="9"/>
    </row>
    <row r="152" spans="2:84" ht="18" customHeight="1" thickBot="1" x14ac:dyDescent="0.3">
      <c r="B152" s="7"/>
      <c r="C152" s="11" t="s">
        <v>123</v>
      </c>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2"/>
      <c r="AO152" s="11"/>
      <c r="AP152" s="9"/>
      <c r="AR152" s="7"/>
      <c r="AS152" s="11" t="s">
        <v>123</v>
      </c>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2"/>
      <c r="CE152" s="11"/>
      <c r="CF152" s="9"/>
    </row>
    <row r="153" spans="2:84" ht="18" customHeight="1" x14ac:dyDescent="0.25">
      <c r="B153" s="7"/>
      <c r="AP153" s="9"/>
      <c r="AR153" s="7"/>
      <c r="CF153" s="9"/>
    </row>
    <row r="154" spans="2:84" ht="18" customHeight="1" x14ac:dyDescent="0.25">
      <c r="B154" s="7"/>
      <c r="AP154" s="9"/>
      <c r="AR154" s="7"/>
      <c r="CF154" s="9"/>
    </row>
    <row r="155" spans="2:84" ht="18" customHeight="1" x14ac:dyDescent="0.25">
      <c r="B155" s="7"/>
      <c r="AP155" s="9"/>
      <c r="AR155" s="7"/>
      <c r="CF155" s="9"/>
    </row>
    <row r="156" spans="2:84" ht="18" customHeight="1" x14ac:dyDescent="0.25">
      <c r="B156" s="7"/>
      <c r="AP156" s="9"/>
      <c r="AR156" s="7"/>
      <c r="CF156" s="9"/>
    </row>
    <row r="157" spans="2:84" ht="18" customHeight="1" x14ac:dyDescent="0.25">
      <c r="B157" s="7"/>
      <c r="AP157" s="9"/>
      <c r="AR157" s="7"/>
      <c r="CF157" s="9"/>
    </row>
    <row r="158" spans="2:84" ht="18" customHeight="1" x14ac:dyDescent="0.25">
      <c r="B158" s="7"/>
      <c r="AP158" s="9"/>
      <c r="AR158" s="7"/>
      <c r="CF158" s="9"/>
    </row>
    <row r="159" spans="2:84" ht="18" customHeight="1" x14ac:dyDescent="0.25">
      <c r="B159" s="7"/>
      <c r="AP159" s="9"/>
      <c r="AR159" s="7"/>
      <c r="CF159" s="9"/>
    </row>
    <row r="160" spans="2:84" ht="18" customHeight="1" x14ac:dyDescent="0.25">
      <c r="B160" s="7"/>
      <c r="AP160" s="9"/>
      <c r="AR160" s="7"/>
      <c r="CF160" s="9"/>
    </row>
    <row r="161" spans="2:84" ht="18" customHeight="1" x14ac:dyDescent="0.25">
      <c r="B161" s="7"/>
      <c r="AP161" s="9"/>
      <c r="AR161" s="7"/>
      <c r="CF161" s="9"/>
    </row>
    <row r="162" spans="2:84" ht="18" customHeight="1" x14ac:dyDescent="0.25">
      <c r="B162" s="7"/>
      <c r="AP162" s="9"/>
      <c r="AR162" s="7"/>
      <c r="CF162" s="9"/>
    </row>
    <row r="163" spans="2:84" ht="18" customHeight="1" x14ac:dyDescent="0.25">
      <c r="B163" s="7"/>
      <c r="AP163" s="9"/>
      <c r="AR163" s="7"/>
      <c r="CF163" s="9"/>
    </row>
    <row r="164" spans="2:84" ht="18" customHeight="1" x14ac:dyDescent="0.25">
      <c r="B164" s="7"/>
      <c r="AP164" s="9"/>
      <c r="AR164" s="7"/>
      <c r="CF164" s="9"/>
    </row>
    <row r="165" spans="2:84" ht="18" customHeight="1" x14ac:dyDescent="0.25">
      <c r="B165" s="7"/>
      <c r="AP165" s="9"/>
      <c r="AR165" s="7"/>
      <c r="CF165" s="9"/>
    </row>
    <row r="166" spans="2:84" ht="18" customHeight="1" x14ac:dyDescent="0.25">
      <c r="B166" s="7"/>
      <c r="AP166" s="9"/>
      <c r="AR166" s="7"/>
      <c r="CF166" s="9"/>
    </row>
    <row r="167" spans="2:84" ht="18" customHeight="1" x14ac:dyDescent="0.25">
      <c r="B167" s="7"/>
      <c r="AP167" s="9"/>
      <c r="AR167" s="7"/>
      <c r="CF167" s="9"/>
    </row>
    <row r="168" spans="2:84" ht="18" customHeight="1" x14ac:dyDescent="0.25">
      <c r="B168" s="7"/>
      <c r="AP168" s="9"/>
      <c r="AR168" s="7"/>
      <c r="CF168" s="9"/>
    </row>
    <row r="169" spans="2:84" ht="18" customHeight="1" x14ac:dyDescent="0.25">
      <c r="B169" s="7"/>
      <c r="AP169" s="9"/>
      <c r="AR169" s="7"/>
      <c r="CF169" s="9"/>
    </row>
    <row r="170" spans="2:84" ht="18" customHeight="1" x14ac:dyDescent="0.25">
      <c r="B170" s="7"/>
      <c r="AP170" s="9"/>
      <c r="AR170" s="7"/>
      <c r="CF170" s="9"/>
    </row>
    <row r="171" spans="2:84" ht="18" customHeight="1" x14ac:dyDescent="0.25">
      <c r="B171" s="7"/>
      <c r="AP171" s="9"/>
      <c r="AR171" s="7"/>
      <c r="CF171" s="9"/>
    </row>
    <row r="172" spans="2:84" ht="18" customHeight="1" x14ac:dyDescent="0.25">
      <c r="B172" s="7"/>
      <c r="AP172" s="9"/>
      <c r="AR172" s="7"/>
      <c r="CF172" s="9"/>
    </row>
    <row r="173" spans="2:84" ht="18" customHeight="1" x14ac:dyDescent="0.25">
      <c r="B173" s="7"/>
      <c r="AP173" s="9"/>
      <c r="AR173" s="7"/>
      <c r="CF173" s="9"/>
    </row>
    <row r="174" spans="2:84" ht="18" customHeight="1" x14ac:dyDescent="0.25">
      <c r="B174" s="7"/>
      <c r="AP174" s="9"/>
      <c r="AR174" s="7"/>
      <c r="CF174" s="9"/>
    </row>
    <row r="175" spans="2:84" ht="18" customHeight="1" x14ac:dyDescent="0.25">
      <c r="B175" s="7"/>
      <c r="AP175" s="9"/>
      <c r="AR175" s="7"/>
      <c r="CF175" s="9"/>
    </row>
    <row r="176" spans="2:84" ht="18" customHeight="1" x14ac:dyDescent="0.25">
      <c r="B176" s="7"/>
      <c r="AP176" s="9"/>
      <c r="AR176" s="7"/>
      <c r="CF176" s="9"/>
    </row>
    <row r="177" spans="2:84" ht="18" customHeight="1" x14ac:dyDescent="0.25">
      <c r="B177" s="7"/>
      <c r="AP177" s="9"/>
      <c r="AR177" s="7"/>
      <c r="CF177" s="9"/>
    </row>
    <row r="178" spans="2:84" ht="18" customHeight="1" x14ac:dyDescent="0.25">
      <c r="B178" s="7"/>
      <c r="AP178" s="9"/>
      <c r="AR178" s="7"/>
      <c r="CF178" s="9"/>
    </row>
    <row r="179" spans="2:84" ht="18" customHeight="1" x14ac:dyDescent="0.25">
      <c r="B179" s="7"/>
      <c r="AP179" s="9"/>
      <c r="AR179" s="7"/>
      <c r="CF179" s="9"/>
    </row>
    <row r="180" spans="2:84" ht="18" customHeight="1" x14ac:dyDescent="0.25">
      <c r="B180" s="7"/>
      <c r="AP180" s="9"/>
      <c r="AR180" s="7"/>
      <c r="CF180" s="9"/>
    </row>
    <row r="181" spans="2:84" ht="18" customHeight="1" x14ac:dyDescent="0.25">
      <c r="B181" s="7"/>
      <c r="AP181" s="9"/>
      <c r="AR181" s="7"/>
      <c r="CF181" s="9"/>
    </row>
    <row r="182" spans="2:84" ht="18" customHeight="1" x14ac:dyDescent="0.25">
      <c r="B182" s="7"/>
      <c r="AP182" s="9"/>
      <c r="AR182" s="7"/>
      <c r="CF182" s="9"/>
    </row>
    <row r="183" spans="2:84" ht="18" customHeight="1" x14ac:dyDescent="0.25">
      <c r="B183" s="7"/>
      <c r="AP183" s="9"/>
      <c r="AR183" s="7"/>
      <c r="CF183" s="9"/>
    </row>
    <row r="184" spans="2:84" ht="18" customHeight="1" x14ac:dyDescent="0.25">
      <c r="B184" s="7"/>
      <c r="AP184" s="9"/>
      <c r="AR184" s="7"/>
      <c r="CF184" s="9"/>
    </row>
    <row r="185" spans="2:84" ht="18" customHeight="1" x14ac:dyDescent="0.25">
      <c r="B185" s="7"/>
      <c r="AP185" s="9"/>
      <c r="AR185" s="7"/>
      <c r="CF185" s="9"/>
    </row>
    <row r="186" spans="2:84" ht="18" customHeight="1" x14ac:dyDescent="0.25">
      <c r="B186" s="7"/>
      <c r="AP186" s="9"/>
      <c r="AR186" s="7"/>
      <c r="CF186" s="9"/>
    </row>
    <row r="187" spans="2:84" ht="18" customHeight="1" x14ac:dyDescent="0.25">
      <c r="B187" s="7"/>
      <c r="AP187" s="9"/>
      <c r="AR187" s="7"/>
      <c r="CF187" s="9"/>
    </row>
    <row r="188" spans="2:84" ht="18" customHeight="1" x14ac:dyDescent="0.25">
      <c r="B188" s="7"/>
      <c r="AP188" s="9"/>
      <c r="AR188" s="7"/>
      <c r="CF188" s="9"/>
    </row>
    <row r="189" spans="2:84" ht="18" customHeight="1" x14ac:dyDescent="0.25">
      <c r="B189" s="7"/>
      <c r="AP189" s="9"/>
      <c r="AR189" s="7"/>
      <c r="CF189" s="9"/>
    </row>
    <row r="190" spans="2:84" ht="18" customHeight="1" x14ac:dyDescent="0.25">
      <c r="B190" s="7"/>
      <c r="AP190" s="9"/>
      <c r="AR190" s="7"/>
      <c r="CF190" s="9"/>
    </row>
    <row r="191" spans="2:84" ht="18" customHeight="1" x14ac:dyDescent="0.25">
      <c r="B191" s="7"/>
      <c r="AP191" s="9"/>
      <c r="AR191" s="7"/>
      <c r="CF191" s="9"/>
    </row>
    <row r="192" spans="2:84" ht="18" customHeight="1" x14ac:dyDescent="0.25">
      <c r="B192" s="7"/>
      <c r="AP192" s="9"/>
      <c r="AR192" s="7"/>
      <c r="CF192" s="9"/>
    </row>
    <row r="193" spans="2:131" ht="18" customHeight="1" x14ac:dyDescent="0.25">
      <c r="B193" s="7"/>
      <c r="AP193" s="9"/>
      <c r="AR193" s="7"/>
      <c r="CF193" s="9"/>
    </row>
    <row r="194" spans="2:131" ht="18" customHeight="1" thickBot="1" x14ac:dyDescent="0.3">
      <c r="B194" s="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2"/>
      <c r="AO194" s="11"/>
      <c r="AP194" s="9"/>
      <c r="AR194" s="7"/>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2"/>
      <c r="CE194" s="11"/>
      <c r="CF194" s="9"/>
    </row>
    <row r="195" spans="2:131" ht="18" customHeight="1" x14ac:dyDescent="0.25">
      <c r="B195" s="7"/>
      <c r="D195" s="43" t="s">
        <v>86</v>
      </c>
      <c r="AO195" s="19" t="s">
        <v>109</v>
      </c>
      <c r="AP195" s="9"/>
      <c r="AR195" s="7"/>
      <c r="AT195" s="43" t="s">
        <v>86</v>
      </c>
      <c r="CE195" s="19" t="s">
        <v>110</v>
      </c>
      <c r="CF195" s="9"/>
    </row>
    <row r="196" spans="2:131" ht="18" customHeight="1" x14ac:dyDescent="0.25">
      <c r="B196" s="44"/>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6"/>
      <c r="AR196" s="44"/>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6"/>
      <c r="DX196" s="35"/>
      <c r="DY196" s="36"/>
      <c r="DZ196" s="36"/>
      <c r="EA196" s="37"/>
    </row>
    <row r="197" spans="2:131" ht="18" customHeight="1" x14ac:dyDescent="0.25">
      <c r="DX197" s="35"/>
      <c r="DY197" s="36"/>
      <c r="DZ197" s="36"/>
      <c r="EA197" s="37"/>
    </row>
    <row r="198" spans="2:131" ht="18" customHeight="1" x14ac:dyDescent="0.25"/>
    <row r="305" ht="18.75" customHeight="1" x14ac:dyDescent="0.25"/>
  </sheetData>
  <sheetProtection algorithmName="SHA-512" hashValue="JFdICPG//VMBqlTyxnEbhM8nb7kZNfS1Ds8nFB3tRQ1ACX5lPegQD4/f5l9z4AqOdIxrCV+RwDtq9YalJ772Zw==" saltValue="jxcGOgRyQCqm5BZUMTenFw==" spinCount="100000" sheet="1" objects="1" scenarios="1"/>
  <mergeCells count="241">
    <mergeCell ref="EW26:EZ26"/>
    <mergeCell ref="W135:AK135"/>
    <mergeCell ref="AL135:AO135"/>
    <mergeCell ref="AE123:AL123"/>
    <mergeCell ref="AS105:CE106"/>
    <mergeCell ref="GB22:GE22"/>
    <mergeCell ref="GB23:GE23"/>
    <mergeCell ref="GB25:GU25"/>
    <mergeCell ref="GB26:GE26"/>
    <mergeCell ref="GG26:GJ26"/>
    <mergeCell ref="GB27:GE27"/>
    <mergeCell ref="GB28:GE28"/>
    <mergeCell ref="FH50:FK50"/>
    <mergeCell ref="FM50:FP50"/>
    <mergeCell ref="DA65:DO65"/>
    <mergeCell ref="DP65:DX65"/>
    <mergeCell ref="EH65:EP65"/>
    <mergeCell ref="DA66:DO66"/>
    <mergeCell ref="DP66:DX66"/>
    <mergeCell ref="EH66:EP66"/>
    <mergeCell ref="DA63:DO63"/>
    <mergeCell ref="DP63:DX63"/>
    <mergeCell ref="EH63:EP63"/>
    <mergeCell ref="DA64:DO64"/>
    <mergeCell ref="GB13:GE13"/>
    <mergeCell ref="GB14:GU14"/>
    <mergeCell ref="GB15:GE15"/>
    <mergeCell ref="GG15:GI15"/>
    <mergeCell ref="GB16:GE16"/>
    <mergeCell ref="GB19:GE19"/>
    <mergeCell ref="GB20:GV20"/>
    <mergeCell ref="GB21:GE21"/>
    <mergeCell ref="GG21:GI21"/>
    <mergeCell ref="FP6:GF6"/>
    <mergeCell ref="GB7:GU7"/>
    <mergeCell ref="GB8:GE8"/>
    <mergeCell ref="GG8:GI8"/>
    <mergeCell ref="GB9:GE9"/>
    <mergeCell ref="GB10:GU10"/>
    <mergeCell ref="GB11:GE11"/>
    <mergeCell ref="GG11:GI11"/>
    <mergeCell ref="GB12:GE12"/>
    <mergeCell ref="DY65:EG65"/>
    <mergeCell ref="DY66:EG66"/>
    <mergeCell ref="DA61:DO61"/>
    <mergeCell ref="DP61:DX61"/>
    <mergeCell ref="EH61:EP61"/>
    <mergeCell ref="DA62:DO62"/>
    <mergeCell ref="DP62:DX62"/>
    <mergeCell ref="EH62:EP62"/>
    <mergeCell ref="DL57:DO57"/>
    <mergeCell ref="DA60:DO60"/>
    <mergeCell ref="DP60:DX60"/>
    <mergeCell ref="EH60:EP60"/>
    <mergeCell ref="DY61:EG61"/>
    <mergeCell ref="DY62:EG62"/>
    <mergeCell ref="EH64:EP64"/>
    <mergeCell ref="DY63:EG63"/>
    <mergeCell ref="DY64:EG64"/>
    <mergeCell ref="DP64:DX64"/>
    <mergeCell ref="HL60:HY60"/>
    <mergeCell ref="HZ60:IC60"/>
    <mergeCell ref="DS50:DV50"/>
    <mergeCell ref="CI52:DL52"/>
    <mergeCell ref="DJ53:DM53"/>
    <mergeCell ref="DO53:DQ53"/>
    <mergeCell ref="DL55:DX55"/>
    <mergeCell ref="DL56:DO56"/>
    <mergeCell ref="P46:R46"/>
    <mergeCell ref="CI46:DK46"/>
    <mergeCell ref="DJ47:DM47"/>
    <mergeCell ref="DO47:DQ47"/>
    <mergeCell ref="CI50:DK50"/>
    <mergeCell ref="DN50:DQ50"/>
    <mergeCell ref="X46:AC46"/>
    <mergeCell ref="FF53:FI53"/>
    <mergeCell ref="FK53:FM53"/>
    <mergeCell ref="DY60:EG60"/>
    <mergeCell ref="P39:R39"/>
    <mergeCell ref="CJ39:DD39"/>
    <mergeCell ref="P40:R40"/>
    <mergeCell ref="CI40:DK40"/>
    <mergeCell ref="DO34:DQ34"/>
    <mergeCell ref="C35:T35"/>
    <mergeCell ref="AS39:CE47"/>
    <mergeCell ref="P41:R41"/>
    <mergeCell ref="P42:R42"/>
    <mergeCell ref="CJ42:DD42"/>
    <mergeCell ref="C43:T43"/>
    <mergeCell ref="CJ43:DD43"/>
    <mergeCell ref="P44:R44"/>
    <mergeCell ref="CI44:DK44"/>
    <mergeCell ref="P45:R45"/>
    <mergeCell ref="AK41:AO41"/>
    <mergeCell ref="AK42:AO42"/>
    <mergeCell ref="P31:R31"/>
    <mergeCell ref="CJ31:DC31"/>
    <mergeCell ref="C32:T32"/>
    <mergeCell ref="CI32:DK32"/>
    <mergeCell ref="BH30:BN30"/>
    <mergeCell ref="BH32:BN32"/>
    <mergeCell ref="BX30:CE30"/>
    <mergeCell ref="BX32:CE32"/>
    <mergeCell ref="BP30:BW30"/>
    <mergeCell ref="BP32:BW32"/>
    <mergeCell ref="P30:R30"/>
    <mergeCell ref="CJ30:DC30"/>
    <mergeCell ref="DJ30:DM30"/>
    <mergeCell ref="DO30:DQ30"/>
    <mergeCell ref="P28:R28"/>
    <mergeCell ref="CI28:DK28"/>
    <mergeCell ref="ER28:EU28"/>
    <mergeCell ref="P29:R29"/>
    <mergeCell ref="BH29:BN29"/>
    <mergeCell ref="BX29:CE29"/>
    <mergeCell ref="BP29:BW29"/>
    <mergeCell ref="ER26:EU26"/>
    <mergeCell ref="C27:T27"/>
    <mergeCell ref="CJ27:DC27"/>
    <mergeCell ref="ER27:EU27"/>
    <mergeCell ref="P26:R26"/>
    <mergeCell ref="CJ26:DC26"/>
    <mergeCell ref="DJ26:DM26"/>
    <mergeCell ref="DO26:DQ26"/>
    <mergeCell ref="BH26:BN26"/>
    <mergeCell ref="BH27:BN27"/>
    <mergeCell ref="BX26:CE26"/>
    <mergeCell ref="BX27:CE27"/>
    <mergeCell ref="BP26:BW26"/>
    <mergeCell ref="BP27:BW27"/>
    <mergeCell ref="C23:T23"/>
    <mergeCell ref="ER23:EU23"/>
    <mergeCell ref="P24:R24"/>
    <mergeCell ref="P25:R25"/>
    <mergeCell ref="ER25:FK25"/>
    <mergeCell ref="BH23:BN23"/>
    <mergeCell ref="BH25:BN25"/>
    <mergeCell ref="BX23:CE23"/>
    <mergeCell ref="BX25:CE25"/>
    <mergeCell ref="BP25:BW25"/>
    <mergeCell ref="DJ21:DM21"/>
    <mergeCell ref="ER21:EU21"/>
    <mergeCell ref="EW21:EY21"/>
    <mergeCell ref="W22:AP23"/>
    <mergeCell ref="DJ22:DM22"/>
    <mergeCell ref="ER22:EU22"/>
    <mergeCell ref="BH21:BN21"/>
    <mergeCell ref="BH22:BN22"/>
    <mergeCell ref="BX21:CE21"/>
    <mergeCell ref="BX22:CE22"/>
    <mergeCell ref="BP21:BW21"/>
    <mergeCell ref="BP22:BW22"/>
    <mergeCell ref="BP23:BW23"/>
    <mergeCell ref="DJ15:DM15"/>
    <mergeCell ref="DO15:DQ15"/>
    <mergeCell ref="ER15:EU15"/>
    <mergeCell ref="DJ19:ED19"/>
    <mergeCell ref="ER19:EU19"/>
    <mergeCell ref="AS20:BF20"/>
    <mergeCell ref="DJ20:DM20"/>
    <mergeCell ref="DO20:DQ20"/>
    <mergeCell ref="ER20:FL20"/>
    <mergeCell ref="EW15:EY15"/>
    <mergeCell ref="DJ16:DM16"/>
    <mergeCell ref="ER16:EU16"/>
    <mergeCell ref="DJ17:DM17"/>
    <mergeCell ref="DJ18:DM18"/>
    <mergeCell ref="BH15:BN15"/>
    <mergeCell ref="BH19:BN20"/>
    <mergeCell ref="BY15:CE15"/>
    <mergeCell ref="BX19:CE20"/>
    <mergeCell ref="BP19:BV20"/>
    <mergeCell ref="BP15:BV15"/>
    <mergeCell ref="DJ13:DM13"/>
    <mergeCell ref="ER13:EU13"/>
    <mergeCell ref="DJ11:EC11"/>
    <mergeCell ref="ER11:EU11"/>
    <mergeCell ref="CJ14:DI14"/>
    <mergeCell ref="DJ14:EC14"/>
    <mergeCell ref="ER14:FK14"/>
    <mergeCell ref="EW11:EY11"/>
    <mergeCell ref="BH11:BN11"/>
    <mergeCell ref="BH12:BN12"/>
    <mergeCell ref="BH13:BN13"/>
    <mergeCell ref="BH14:BN14"/>
    <mergeCell ref="BY11:CE11"/>
    <mergeCell ref="BY12:CE12"/>
    <mergeCell ref="BY13:CE13"/>
    <mergeCell ref="BY14:CE14"/>
    <mergeCell ref="BP13:BV13"/>
    <mergeCell ref="BP14:BV14"/>
    <mergeCell ref="H11:W11"/>
    <mergeCell ref="AE11:AN11"/>
    <mergeCell ref="DJ12:DM12"/>
    <mergeCell ref="DJ9:DM9"/>
    <mergeCell ref="ER9:EU9"/>
    <mergeCell ref="AS10:BF10"/>
    <mergeCell ref="DJ10:DM10"/>
    <mergeCell ref="ER10:FK10"/>
    <mergeCell ref="DO12:DQ12"/>
    <mergeCell ref="ER12:EU12"/>
    <mergeCell ref="H12:W12"/>
    <mergeCell ref="AE12:AN12"/>
    <mergeCell ref="BH9:BN10"/>
    <mergeCell ref="BX9:CE10"/>
    <mergeCell ref="BP9:BV10"/>
    <mergeCell ref="BP11:BV11"/>
    <mergeCell ref="BP12:BV12"/>
    <mergeCell ref="CH6:DU6"/>
    <mergeCell ref="EF6:EV6"/>
    <mergeCell ref="C7:AO8"/>
    <mergeCell ref="DJ7:EC7"/>
    <mergeCell ref="ER7:FK7"/>
    <mergeCell ref="DJ8:DM8"/>
    <mergeCell ref="DO8:DQ8"/>
    <mergeCell ref="ER8:EU8"/>
    <mergeCell ref="EW8:EY8"/>
    <mergeCell ref="AS136:CE136"/>
    <mergeCell ref="AS137:CE141"/>
    <mergeCell ref="EK33:EN33"/>
    <mergeCell ref="EK34:EN34"/>
    <mergeCell ref="EK35:EN35"/>
    <mergeCell ref="L137:S137"/>
    <mergeCell ref="L139:S139"/>
    <mergeCell ref="L138:S138"/>
    <mergeCell ref="Y131:AD131"/>
    <mergeCell ref="Y132:AD132"/>
    <mergeCell ref="Y133:AD133"/>
    <mergeCell ref="AA137:AO137"/>
    <mergeCell ref="AS33:BR33"/>
    <mergeCell ref="BS33:CA33"/>
    <mergeCell ref="CJ35:DC35"/>
    <mergeCell ref="P36:R36"/>
    <mergeCell ref="CI36:DK36"/>
    <mergeCell ref="P33:R33"/>
    <mergeCell ref="P34:R34"/>
    <mergeCell ref="CJ34:DC34"/>
    <mergeCell ref="DJ34:DM34"/>
    <mergeCell ref="P37:R37"/>
    <mergeCell ref="P38:R38"/>
    <mergeCell ref="CJ38:DD38"/>
  </mergeCells>
  <dataValidations disablePrompts="1" count="1">
    <dataValidation allowBlank="1" showErrorMessage="1" sqref="S17:U17" xr:uid="{0F71B39F-6E2D-4ED7-A3E8-B3B81BD41231}"/>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733c3ee-3ed4-4876-80d1-ffc06c69238d" xsi:nil="true"/>
    <lcf76f155ced4ddcb4097134ff3c332f xmlns="f06edbc9-4a38-4633-ac57-12812ade00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39AD2BD9EF5744A93D330800BBA098" ma:contentTypeVersion="12" ma:contentTypeDescription="Create a new document." ma:contentTypeScope="" ma:versionID="53c6a75c1dc2e3e96ac04e6d146483af">
  <xsd:schema xmlns:xsd="http://www.w3.org/2001/XMLSchema" xmlns:xs="http://www.w3.org/2001/XMLSchema" xmlns:p="http://schemas.microsoft.com/office/2006/metadata/properties" xmlns:ns2="f06edbc9-4a38-4633-ac57-12812ade00da" xmlns:ns3="5733c3ee-3ed4-4876-80d1-ffc06c69238d" targetNamespace="http://schemas.microsoft.com/office/2006/metadata/properties" ma:root="true" ma:fieldsID="3e06dbbfe3e4aaeee4bddc3101a9e35d" ns2:_="" ns3:_="">
    <xsd:import namespace="f06edbc9-4a38-4633-ac57-12812ade00da"/>
    <xsd:import namespace="5733c3ee-3ed4-4876-80d1-ffc06c6923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edbc9-4a38-4633-ac57-12812ade0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1eb04f-e05f-4397-87ae-cd0659b49bd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33c3ee-3ed4-4876-80d1-ffc06c69238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4d54e4-43ca-4912-830a-8b9c716c240c}" ma:internalName="TaxCatchAll" ma:showField="CatchAllData" ma:web="5733c3ee-3ed4-4876-80d1-ffc06c6923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DB0BE8-6C47-4B58-86A9-9CF74C9EEC54}">
  <ds:schemaRefs>
    <ds:schemaRef ds:uri="http://purl.org/dc/elements/1.1/"/>
    <ds:schemaRef ds:uri="http://schemas.microsoft.com/office/2006/documentManagement/types"/>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5733c3ee-3ed4-4876-80d1-ffc06c69238d"/>
    <ds:schemaRef ds:uri="f06edbc9-4a38-4633-ac57-12812ade00da"/>
    <ds:schemaRef ds:uri="http://www.w3.org/XML/1998/namespace"/>
  </ds:schemaRefs>
</ds:datastoreItem>
</file>

<file path=customXml/itemProps2.xml><?xml version="1.0" encoding="utf-8"?>
<ds:datastoreItem xmlns:ds="http://schemas.openxmlformats.org/officeDocument/2006/customXml" ds:itemID="{0D08D9AE-6FA2-499B-9BBA-9A715F18D90B}"/>
</file>

<file path=customXml/itemProps3.xml><?xml version="1.0" encoding="utf-8"?>
<ds:datastoreItem xmlns:ds="http://schemas.openxmlformats.org/officeDocument/2006/customXml" ds:itemID="{E982AD15-4212-4009-866A-5ED672E8A2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Overview and Purpose</vt:lpstr>
      <vt:lpstr>DOL - MotorVAR</vt:lpstr>
      <vt:lpstr>MotorVAR + RVSS</vt:lpstr>
      <vt:lpstr>DOL-MotorVAR-Capative XFMR</vt:lpstr>
      <vt:lpstr>DOL-MotorVAR + Reactor</vt:lpstr>
      <vt:lpstr>'DOL - MotorVAR'!Print_Area</vt:lpstr>
      <vt:lpstr>'DOL-MotorVAR + Reactor'!Print_Area</vt:lpstr>
      <vt:lpstr>'DOL-MotorVAR-Capative XFMR'!Print_Area</vt:lpstr>
      <vt:lpstr>'MotorVAR + RVSS'!Print_Area</vt:lpstr>
      <vt:lpstr>'Overview and Purpose'!Print_Area</vt:lpstr>
    </vt:vector>
  </TitlesOfParts>
  <Company>VarStec Power Solutions</Company>
  <LinksUpToDate>false</LinksUpToDate>
  <SharedDoc>false</SharedDoc>
  <HyperlinkBase>VarStec.Com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Motor Start Capacitor Bank Sizing Tool</dc:title>
  <dc:subject>Starting Large Motors with Capacitor Banks</dc:subject>
  <dc:creator>Paul Steciuk;Paul B. Steciuk;VarStec Power Solutions</dc:creator>
  <cp:keywords>MotorVar, RVSS, VFD, Synchronous Bypass Switchgear, DOL motor Starting, RVSS Start, VFD Drive Motor Starter, Fast Switching Capacitor Bank</cp:keywords>
  <dc:description>VarStec's Motor is a medium-voltage motor starting capacitor bank. This tools provides detailed performance values for DOL motor starting and compares it to VFD, RVSS, and reactor start motor start solutions. 
</dc:description>
  <cp:lastModifiedBy>Paul Steciuk</cp:lastModifiedBy>
  <cp:lastPrinted>2026-01-11T17:40:02Z</cp:lastPrinted>
  <dcterms:created xsi:type="dcterms:W3CDTF">2025-12-26T20:24:32Z</dcterms:created>
  <dcterms:modified xsi:type="dcterms:W3CDTF">2026-04-13T14:59:35Z</dcterms:modified>
  <cp:category>Engineering Tool </cp:category>
  <cp:contentStatus>Updated 4-13-2026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0x010100D339AD2BD9EF5744A93D330800BBA098</vt:lpwstr>
  </property>
  <property fmtid="{D5CDD505-2E9C-101B-9397-08002B2CF9AE}" pid="3" name="MediaServiceImageTags">
    <vt:lpwstr/>
  </property>
</Properties>
</file>