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varstecllc.sharepoint.com/sites/VarStecPowerSolutions/Shared Documents/Spreadsheet Tools/"/>
    </mc:Choice>
  </mc:AlternateContent>
  <xr:revisionPtr revIDLastSave="2114" documentId="8_{14BDF74B-ED39-4DE8-9121-C7247A8ECE38}" xr6:coauthVersionLast="47" xr6:coauthVersionMax="47" xr10:uidLastSave="{6B6A125B-A642-4D56-AD52-BE8CF58539C6}"/>
  <bookViews>
    <workbookView xWindow="-120" yWindow="-120" windowWidth="29040" windowHeight="15720" tabRatio="793" activeTab="1" xr2:uid="{B632598A-E0F5-4192-BD05-2A4920034205}"/>
  </bookViews>
  <sheets>
    <sheet name="Technical Overview" sheetId="6" r:id="rId1"/>
    <sheet name="Calculation Tool" sheetId="12" r:id="rId2"/>
    <sheet name="Lead Length" sheetId="19" r:id="rId3"/>
    <sheet name="IEEE Rated Surge Arresters" sheetId="14" r:id="rId4"/>
    <sheet name="IEC Rated Surge Arresters" sheetId="15" r:id="rId5"/>
    <sheet name="IEEE C37.010-2016" sheetId="16" r:id="rId6"/>
    <sheet name="IEEE C37.20.3 ACF Factors" sheetId="11" r:id="rId7"/>
    <sheet name="IEEE C37.20.2 ACF Factors" sheetId="13" r:id="rId8"/>
    <sheet name="IEC 60694" sheetId="17" r:id="rId9"/>
  </sheets>
  <definedNames>
    <definedName name="_xlnm.Print_Area" localSheetId="1">'Calculation Tool'!$B$2:$AP$49,'Calculation Tool'!$AR$2:$CF$49,'Calculation Tool'!$B$51:$AP$98,'Calculation Tool'!$AR$51:$CF$98</definedName>
    <definedName name="_xlnm.Print_Area" localSheetId="2">'Lead Length'!$B$2:$AP$49,'Lead Length'!$AR$2:$CF$49,'Lead Length'!$B$51:$AP$98,'Lead Length'!$AR$51:$CF$98</definedName>
    <definedName name="_xlnm.Print_Area" localSheetId="0">'Technical Overview'!$B$2:$AP$49,'Technical Overview'!$AR$2:$CF$49,'Technical Overview'!$B$51:$AP$98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Y29" i="12" l="1"/>
  <c r="FY39" i="12"/>
  <c r="FY37" i="12"/>
  <c r="FY36" i="12"/>
  <c r="FY35" i="12"/>
  <c r="FY34" i="12"/>
  <c r="V68" i="12"/>
  <c r="V65" i="12"/>
  <c r="V62" i="12"/>
  <c r="FY24" i="12"/>
  <c r="FY31" i="12"/>
  <c r="FY30" i="12"/>
  <c r="GA43" i="12" s="1"/>
  <c r="FY27" i="12"/>
  <c r="EZ61" i="12"/>
  <c r="EZ62" i="12" s="1"/>
  <c r="FI56" i="12"/>
  <c r="FI59" i="12" s="1"/>
  <c r="T41" i="12"/>
  <c r="T42" i="12"/>
  <c r="T43" i="12"/>
  <c r="T40" i="12"/>
  <c r="P41" i="12"/>
  <c r="P42" i="12"/>
  <c r="P43" i="12"/>
  <c r="P40" i="12"/>
  <c r="N31" i="12"/>
  <c r="CL3" i="12" s="1" a="1"/>
  <c r="CL3" i="12" s="1"/>
  <c r="CM10" i="12" s="1"/>
  <c r="FD38" i="12"/>
  <c r="FD40" i="12" s="1"/>
  <c r="BE39" i="12" s="1"/>
  <c r="W37" i="12"/>
  <c r="FD32" i="12" a="1"/>
  <c r="FD32" i="12" s="1"/>
  <c r="FD36" i="12" s="1"/>
  <c r="AY42" i="12" s="1"/>
  <c r="CL2" i="12" a="1"/>
  <c r="CL2" i="12" s="1"/>
  <c r="CM9" i="12" s="1"/>
  <c r="BE42" i="12" l="1"/>
  <c r="EZ72" i="12"/>
  <c r="FB16" i="12"/>
  <c r="FY26" i="12" s="1"/>
  <c r="FB17" i="12"/>
  <c r="FY25" i="12" s="1"/>
  <c r="FI65" i="12"/>
  <c r="FI54" i="12"/>
  <c r="FI58" i="12" s="1"/>
  <c r="FI64" i="12" s="1"/>
  <c r="FY28" i="12"/>
  <c r="GS43" i="12" s="1"/>
  <c r="CM13" i="12"/>
  <c r="FD49" i="12"/>
  <c r="BY42" i="12" s="1"/>
  <c r="FD39" i="12"/>
  <c r="BE36" i="12" s="1"/>
  <c r="FD34" i="12"/>
  <c r="FD35" i="12"/>
  <c r="AY36" i="12" s="1"/>
  <c r="CM12" i="12"/>
  <c r="CM11" i="12"/>
  <c r="EA10" i="12"/>
  <c r="FD68" i="12" l="1"/>
  <c r="AH62" i="12" s="1"/>
  <c r="M63" i="12"/>
  <c r="FD70" i="12"/>
  <c r="AH65" i="12" s="1"/>
  <c r="M66" i="12"/>
  <c r="FD73" i="12"/>
  <c r="AH68" i="12" s="1"/>
  <c r="M69" i="12"/>
  <c r="FD45" i="12"/>
  <c r="AY39" i="12"/>
  <c r="FY38" i="12"/>
  <c r="FD42" i="12"/>
  <c r="EA9" i="12"/>
  <c r="FD43" i="12" l="1"/>
  <c r="BY36" i="12" s="1"/>
  <c r="BL36" i="12"/>
  <c r="FD46" i="12"/>
  <c r="BY39" i="12" s="1"/>
  <c r="BL39" i="12"/>
  <c r="CM18" i="12"/>
  <c r="CM15" i="12"/>
  <c r="AS7" i="12" l="1"/>
  <c r="AS8" i="12"/>
  <c r="CM21" i="12"/>
  <c r="CI24" i="1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<sst xmlns="http://schemas.openxmlformats.org/spreadsheetml/2006/main" count="230" uniqueCount="160">
  <si>
    <t>VarStec Power Solutions, LLC</t>
  </si>
  <si>
    <t>PO Box 942</t>
  </si>
  <si>
    <t>Saratoga Springs, NY 12866</t>
  </si>
  <si>
    <t>518.369.7589</t>
  </si>
  <si>
    <t>Info@VarStec.com</t>
  </si>
  <si>
    <t>2 | P a g e</t>
  </si>
  <si>
    <t>3 | P a g e</t>
  </si>
  <si>
    <t>4 | P a g e</t>
  </si>
  <si>
    <t xml:space="preserve"> </t>
  </si>
  <si>
    <t>January 18, 2026</t>
  </si>
  <si>
    <t>Project Name:</t>
  </si>
  <si>
    <t>Enter Project Name</t>
  </si>
  <si>
    <t>VarStec SO #:</t>
  </si>
  <si>
    <t>Enter SO Number</t>
  </si>
  <si>
    <t>Customer PO #:</t>
  </si>
  <si>
    <t xml:space="preserve">Enter Customer PO # </t>
  </si>
  <si>
    <t>Rev 1</t>
  </si>
  <si>
    <t>Tag #:</t>
  </si>
  <si>
    <t>Technical Overview &amp; Standards Compliance</t>
  </si>
  <si>
    <r>
      <t>The equivalent inductance, L</t>
    </r>
    <r>
      <rPr>
        <vertAlign val="subscript"/>
        <sz val="10"/>
        <color theme="1"/>
        <rFont val="Calibri"/>
        <family val="2"/>
        <scheme val="minor"/>
      </rPr>
      <t>bank</t>
    </r>
    <r>
      <rPr>
        <sz val="10"/>
        <color theme="1"/>
        <rFont val="Calibri"/>
        <family val="2"/>
        <scheme val="minor"/>
      </rPr>
      <t xml:space="preserve"> is calculated as the parallel combination of all energized capacitor stages. A stage is included only if its kVAR rating in column E is greater than zero and its corresponding inductance in column H is greater than zero. For each qualifying stage, the total series inductance used in the calculation is the sum of the stage inductance (column H), the bus work inductance between stages (cell AM27), and the internal inductance of the capacitors and capacitor branch for each stage (cell AM28). The equivalent inductance is then determined using the standard parallel inductance relationship, Leq = 1 / Σ(1 / Ltotal,stage). If no stages meet the inclusion criteria, the resulting equivalent inductance is returned as zero.</t>
    </r>
  </si>
  <si>
    <r>
      <t>V</t>
    </r>
    <r>
      <rPr>
        <vertAlign val="subscript"/>
        <sz val="11"/>
        <color theme="1"/>
        <rFont val="Calibri"/>
        <family val="2"/>
        <scheme val="minor"/>
      </rPr>
      <t>peak</t>
    </r>
    <r>
      <rPr>
        <sz val="11"/>
        <color theme="1"/>
        <rFont val="Calibri"/>
        <family val="2"/>
        <scheme val="minor"/>
      </rPr>
      <t>:</t>
    </r>
  </si>
  <si>
    <t>kV</t>
  </si>
  <si>
    <t>µH</t>
  </si>
  <si>
    <t>Line to neutral peak voltage plus Over-voltage factor</t>
  </si>
  <si>
    <r>
      <t>I</t>
    </r>
    <r>
      <rPr>
        <vertAlign val="subscript"/>
        <sz val="11"/>
        <color theme="1"/>
        <rFont val="Calibri"/>
        <family val="2"/>
        <scheme val="minor"/>
      </rPr>
      <t>peak</t>
    </r>
    <r>
      <rPr>
        <sz val="11"/>
        <color theme="1"/>
        <rFont val="Calibri"/>
        <family val="2"/>
        <scheme val="minor"/>
      </rPr>
      <t>(kA):</t>
    </r>
  </si>
  <si>
    <r>
      <rPr>
        <i/>
        <sz val="16"/>
        <color theme="1"/>
        <rFont val="Calibri"/>
        <family val="2"/>
        <scheme val="minor"/>
      </rPr>
      <t>f</t>
    </r>
    <r>
      <rPr>
        <vertAlign val="subscript"/>
        <sz val="11"/>
        <color theme="1"/>
        <rFont val="Calibri"/>
        <family val="2"/>
        <scheme val="minor"/>
      </rPr>
      <t>outrush</t>
    </r>
    <r>
      <rPr>
        <sz val="11"/>
        <color theme="1"/>
        <rFont val="Calibri"/>
        <family val="2"/>
        <scheme val="minor"/>
      </rPr>
      <t xml:space="preserve"> (Hz)</t>
    </r>
    <r>
      <rPr>
        <sz val="12"/>
        <color theme="1"/>
        <rFont val="Calibri"/>
        <family val="2"/>
        <scheme val="minor"/>
      </rPr>
      <t>:</t>
    </r>
    <r>
      <rPr>
        <sz val="11"/>
        <color theme="1"/>
        <rFont val="Calibri"/>
        <family val="2"/>
        <scheme val="minor"/>
      </rPr>
      <t xml:space="preserve"> </t>
    </r>
  </si>
  <si>
    <t>Product (I x f):</t>
  </si>
  <si>
    <t>kAHz</t>
  </si>
  <si>
    <t>Parallel Sum of all capacitors + capacitance tolerance</t>
  </si>
  <si>
    <r>
      <t>L</t>
    </r>
    <r>
      <rPr>
        <vertAlign val="subscript"/>
        <sz val="11"/>
        <color theme="1"/>
        <rFont val="Calibri"/>
        <family val="2"/>
        <scheme val="minor"/>
      </rPr>
      <t>bank a</t>
    </r>
    <r>
      <rPr>
        <sz val="11"/>
        <color theme="1"/>
        <rFont val="Calibri"/>
        <family val="2"/>
        <scheme val="minor"/>
      </rPr>
      <t>:</t>
    </r>
  </si>
  <si>
    <r>
      <t>L</t>
    </r>
    <r>
      <rPr>
        <vertAlign val="subscript"/>
        <sz val="11"/>
        <color theme="1"/>
        <rFont val="Calibri"/>
        <family val="2"/>
        <scheme val="minor"/>
      </rPr>
      <t>bank b</t>
    </r>
    <r>
      <rPr>
        <sz val="11"/>
        <color theme="1"/>
        <rFont val="Calibri"/>
        <family val="2"/>
        <scheme val="minor"/>
      </rPr>
      <t>:</t>
    </r>
  </si>
  <si>
    <r>
      <t>The total inductance, L</t>
    </r>
    <r>
      <rPr>
        <vertAlign val="subscript"/>
        <sz val="10"/>
        <color theme="1"/>
        <rFont val="Calibri"/>
        <family val="2"/>
        <scheme val="minor"/>
      </rPr>
      <t>total to Bus Connection,</t>
    </r>
    <r>
      <rPr>
        <sz val="10"/>
        <color theme="1"/>
        <rFont val="Calibri"/>
        <family val="2"/>
        <scheme val="minor"/>
      </rPr>
      <t xml:space="preserve"> to the fault location includes the capacitor bank feeder inductance, outrush reactor inductance, L</t>
    </r>
    <r>
      <rPr>
        <vertAlign val="subscript"/>
        <sz val="10"/>
        <color theme="1"/>
        <rFont val="Calibri"/>
        <family val="2"/>
        <scheme val="minor"/>
      </rPr>
      <t>bank</t>
    </r>
    <r>
      <rPr>
        <sz val="10"/>
        <color theme="1"/>
        <rFont val="Calibri"/>
        <family val="2"/>
        <scheme val="minor"/>
      </rPr>
      <t xml:space="preserve"> inductance, and the total inductance from the capacitor bank feeder connection (at the bus) to the fault location.</t>
    </r>
  </si>
  <si>
    <r>
      <t>L</t>
    </r>
    <r>
      <rPr>
        <vertAlign val="subscript"/>
        <sz val="11"/>
        <color theme="1"/>
        <rFont val="Calibri"/>
        <family val="2"/>
        <scheme val="minor"/>
      </rPr>
      <t>total to Bus A</t>
    </r>
    <r>
      <rPr>
        <sz val="11"/>
        <color theme="1"/>
        <rFont val="Calibri"/>
        <family val="2"/>
        <scheme val="minor"/>
      </rPr>
      <t>:</t>
    </r>
  </si>
  <si>
    <r>
      <t>L</t>
    </r>
    <r>
      <rPr>
        <vertAlign val="subscript"/>
        <sz val="11"/>
        <color theme="1"/>
        <rFont val="Calibri"/>
        <family val="2"/>
        <scheme val="minor"/>
      </rPr>
      <t>total to Bus B</t>
    </r>
    <r>
      <rPr>
        <sz val="11"/>
        <color theme="1"/>
        <rFont val="Calibri"/>
        <family val="2"/>
        <scheme val="minor"/>
      </rPr>
      <t>:</t>
    </r>
  </si>
  <si>
    <r>
      <t>C</t>
    </r>
    <r>
      <rPr>
        <vertAlign val="subscript"/>
        <sz val="11"/>
        <color theme="1"/>
        <rFont val="Calibri"/>
        <family val="2"/>
        <scheme val="minor"/>
      </rPr>
      <t>total A</t>
    </r>
    <r>
      <rPr>
        <sz val="11"/>
        <color theme="1"/>
        <rFont val="Calibri"/>
        <family val="2"/>
        <scheme val="minor"/>
      </rPr>
      <t>:</t>
    </r>
  </si>
  <si>
    <r>
      <t>C</t>
    </r>
    <r>
      <rPr>
        <vertAlign val="subscript"/>
        <sz val="11"/>
        <color theme="1"/>
        <rFont val="Calibri"/>
        <family val="2"/>
        <scheme val="minor"/>
      </rPr>
      <t>total B</t>
    </r>
    <r>
      <rPr>
        <sz val="11"/>
        <color theme="1"/>
        <rFont val="Calibri"/>
        <family val="2"/>
        <scheme val="minor"/>
      </rPr>
      <t>:</t>
    </r>
  </si>
  <si>
    <r>
      <t>C</t>
    </r>
    <r>
      <rPr>
        <vertAlign val="subscript"/>
        <sz val="11"/>
        <color theme="1"/>
        <rFont val="Calibri"/>
        <family val="2"/>
        <scheme val="minor"/>
      </rPr>
      <t>grand total</t>
    </r>
    <r>
      <rPr>
        <sz val="11"/>
        <color theme="1"/>
        <rFont val="Calibri"/>
        <family val="2"/>
        <scheme val="minor"/>
      </rPr>
      <t>:</t>
    </r>
  </si>
  <si>
    <r>
      <t>L</t>
    </r>
    <r>
      <rPr>
        <vertAlign val="subscript"/>
        <sz val="11"/>
        <color theme="1"/>
        <rFont val="Calibri"/>
        <family val="2"/>
        <scheme val="minor"/>
      </rPr>
      <t>grand total</t>
    </r>
    <r>
      <rPr>
        <sz val="11"/>
        <color theme="1"/>
        <rFont val="Calibri"/>
        <family val="2"/>
        <scheme val="minor"/>
      </rPr>
      <t>:</t>
    </r>
  </si>
  <si>
    <t>Disclaimer and Use Limitation</t>
  </si>
  <si>
    <t>This spreadsheet is provided for preliminary engineering evaluation only. The calculations are based on simplified, steady-state models and user-supplied input data and are intended to support initial screening, comparative analysis, and conceptual design.  It is intended for use only by qualified technical professionals and should not be used as a substitute for detailed engineering studies, manufacturer-validated analyses, or final design verification. VarStec Power Solutions, LLC makes no representations or warranties, express or implied, and assumes no responsibility or liability for decisions or actions taken based on use of this tool.</t>
  </si>
  <si>
    <t>Sheet Rev Date: 2-16-2026</t>
  </si>
  <si>
    <t>VarStec Capacitor Bank Altitude Derating &amp; Insulation Coordination Tool
Surge Arrester Protection &amp; Dielectric Withstand Verification</t>
  </si>
  <si>
    <t>System &amp; Environmental Data</t>
  </si>
  <si>
    <t>CAPACITOR BANK &amp; SYSTEM DATA</t>
  </si>
  <si>
    <t>PURPOSE OF ANALYSIS</t>
  </si>
  <si>
    <t>PROJECT DETAILS</t>
  </si>
  <si>
    <t>Nominal System Voltage:</t>
  </si>
  <si>
    <t>meters</t>
  </si>
  <si>
    <t>Equipment Nameplate Ratings (Sea-Level Baselines)</t>
  </si>
  <si>
    <r>
      <t>(kV</t>
    </r>
    <r>
      <rPr>
        <vertAlign val="subscript"/>
        <sz val="11"/>
        <color theme="1"/>
        <rFont val="Calibri"/>
        <family val="2"/>
        <scheme val="minor"/>
      </rPr>
      <t>LL</t>
    </r>
    <r>
      <rPr>
        <sz val="11"/>
        <color theme="1"/>
        <rFont val="Calibri"/>
        <family val="2"/>
        <scheme val="minor"/>
      </rPr>
      <t>)</t>
    </r>
  </si>
  <si>
    <t>Sheet Rev Date: 3/1/2026</t>
  </si>
  <si>
    <t>Surge Arrester Characteristics</t>
  </si>
  <si>
    <r>
      <t>Maximum System Voltage (U</t>
    </r>
    <r>
      <rPr>
        <vertAlign val="subscript"/>
        <sz val="11"/>
        <color theme="1"/>
        <rFont val="Calibri"/>
        <family val="2"/>
        <scheme val="minor"/>
      </rPr>
      <t>m</t>
    </r>
    <r>
      <rPr>
        <sz val="11"/>
        <color theme="1"/>
        <rFont val="Calibri"/>
        <family val="2"/>
        <scheme val="minor"/>
      </rPr>
      <t>):</t>
    </r>
  </si>
  <si>
    <t>Installation Geometry (Optional but Highly Recommended)</t>
  </si>
  <si>
    <r>
      <t>Arrester Lead Length / Separation Distance</t>
    </r>
    <r>
      <rPr>
        <sz val="12"/>
        <color rgb="FF303030"/>
        <rFont val="Google Sans Text"/>
      </rPr>
      <t xml:space="preserve"> </t>
    </r>
    <r>
      <rPr>
        <sz val="11"/>
        <color theme="1"/>
        <rFont val="Calibri"/>
        <family val="2"/>
        <scheme val="minor"/>
      </rPr>
      <t>:</t>
    </r>
  </si>
  <si>
    <t>Solidly / Effectively Grounded</t>
  </si>
  <si>
    <t>Low-Impedance Grounded</t>
  </si>
  <si>
    <t>Ungrounded / High-Impedance / Delta</t>
  </si>
  <si>
    <t xml:space="preserve">System Grounding Drop Down </t>
  </si>
  <si>
    <t>System Grounding:</t>
  </si>
  <si>
    <t>The IEEE Calculation Block</t>
  </si>
  <si>
    <t>Table 10 - Altitude Correctio Factors (ACF), C37.20.3 - 2023</t>
  </si>
  <si>
    <t>ACF for Withstand Voltage</t>
  </si>
  <si>
    <t>ACF factor:</t>
  </si>
  <si>
    <t>(ft)</t>
  </si>
  <si>
    <t>Derated BIL:</t>
  </si>
  <si>
    <t>Derated CWW:</t>
  </si>
  <si>
    <t>Chopped Wave Withstand (CWW):</t>
  </si>
  <si>
    <t xml:space="preserve"> Derated Power Frequency Withstand Voltage:</t>
  </si>
  <si>
    <r>
      <t>(kV</t>
    </r>
    <r>
      <rPr>
        <vertAlign val="subscript"/>
        <sz val="11"/>
        <color theme="1"/>
        <rFont val="Calibri"/>
        <family val="2"/>
        <scheme val="minor"/>
      </rPr>
      <t>crest</t>
    </r>
    <r>
      <rPr>
        <sz val="11"/>
        <color theme="1"/>
        <rFont val="Calibri"/>
        <family val="2"/>
        <scheme val="minor"/>
      </rPr>
      <t>)</t>
    </r>
  </si>
  <si>
    <t>(kV)</t>
  </si>
  <si>
    <t>Step 1:</t>
  </si>
  <si>
    <t>Lead Length Voltage Drop:</t>
  </si>
  <si>
    <r>
      <t>(kA/</t>
    </r>
    <r>
      <rPr>
        <sz val="11"/>
        <color theme="1"/>
        <rFont val="Calibri"/>
        <family val="2"/>
      </rPr>
      <t>µs)</t>
    </r>
  </si>
  <si>
    <t>Step 4</t>
  </si>
  <si>
    <t>Calculation of Altitude Correctin Factor (ACF)</t>
  </si>
  <si>
    <t>Step 2:</t>
  </si>
  <si>
    <t>Step 3</t>
  </si>
  <si>
    <t>Calculation of Voltage at the Equipment (Accounting for Lead Length)</t>
  </si>
  <si>
    <t>Calculation of the Protective Margins (The Pass/Fail Output)</t>
  </si>
  <si>
    <r>
      <t>Total FOW Voltage (V</t>
    </r>
    <r>
      <rPr>
        <vertAlign val="subscript"/>
        <sz val="11"/>
        <color theme="1"/>
        <rFont val="Calibri"/>
        <family val="2"/>
        <scheme val="minor"/>
      </rPr>
      <t>1</t>
    </r>
    <r>
      <rPr>
        <sz val="11"/>
        <color theme="1"/>
        <rFont val="Calibri"/>
        <family val="2"/>
        <scheme val="minor"/>
      </rPr>
      <t>):</t>
    </r>
  </si>
  <si>
    <r>
      <t>Total LPL Voltage (V</t>
    </r>
    <r>
      <rPr>
        <vertAlign val="subscript"/>
        <sz val="11"/>
        <color theme="1"/>
        <rFont val="Calibri"/>
        <family val="2"/>
        <scheme val="minor"/>
      </rPr>
      <t>2</t>
    </r>
    <r>
      <rPr>
        <sz val="11"/>
        <color theme="1"/>
        <rFont val="Calibri"/>
        <family val="2"/>
        <scheme val="minor"/>
      </rPr>
      <t>):</t>
    </r>
  </si>
  <si>
    <r>
      <rPr>
        <b/>
        <sz val="11"/>
        <color theme="1"/>
        <rFont val="Calibri"/>
        <family val="2"/>
        <scheme val="minor"/>
      </rPr>
      <t>S</t>
    </r>
    <r>
      <rPr>
        <sz val="11"/>
        <color theme="1"/>
        <rFont val="Calibri"/>
        <family val="2"/>
        <scheme val="minor"/>
      </rPr>
      <t xml:space="preserve">witching Impulse </t>
    </r>
    <r>
      <rPr>
        <b/>
        <sz val="11"/>
        <color theme="1"/>
        <rFont val="Calibri"/>
        <family val="2"/>
        <scheme val="minor"/>
      </rPr>
      <t>P</t>
    </r>
    <r>
      <rPr>
        <sz val="11"/>
        <color theme="1"/>
        <rFont val="Calibri"/>
        <family val="2"/>
        <scheme val="minor"/>
      </rPr>
      <t xml:space="preserve">rotective </t>
    </r>
    <r>
      <rPr>
        <b/>
        <sz val="11"/>
        <color theme="1"/>
        <rFont val="Calibri"/>
        <family val="2"/>
        <scheme val="minor"/>
      </rPr>
      <t>L</t>
    </r>
    <r>
      <rPr>
        <sz val="11"/>
        <color theme="1"/>
        <rFont val="Calibri"/>
        <family val="2"/>
        <scheme val="minor"/>
      </rPr>
      <t>evel (SPL):</t>
    </r>
  </si>
  <si>
    <r>
      <rPr>
        <b/>
        <sz val="11"/>
        <color theme="1"/>
        <rFont val="Calibri"/>
        <family val="2"/>
        <scheme val="minor"/>
      </rPr>
      <t>F</t>
    </r>
    <r>
      <rPr>
        <sz val="11"/>
        <color theme="1"/>
        <rFont val="Calibri"/>
        <family val="2"/>
        <scheme val="minor"/>
      </rPr>
      <t>ront-</t>
    </r>
    <r>
      <rPr>
        <b/>
        <sz val="11"/>
        <color theme="1"/>
        <rFont val="Calibri"/>
        <family val="2"/>
        <scheme val="minor"/>
      </rPr>
      <t>o</t>
    </r>
    <r>
      <rPr>
        <sz val="11"/>
        <color theme="1"/>
        <rFont val="Calibri"/>
        <family val="2"/>
        <scheme val="minor"/>
      </rPr>
      <t>f-</t>
    </r>
    <r>
      <rPr>
        <b/>
        <sz val="11"/>
        <color theme="1"/>
        <rFont val="Calibri"/>
        <family val="2"/>
        <scheme val="minor"/>
      </rPr>
      <t>W</t>
    </r>
    <r>
      <rPr>
        <sz val="11"/>
        <color theme="1"/>
        <rFont val="Calibri"/>
        <family val="2"/>
        <scheme val="minor"/>
      </rPr>
      <t>ave Protective Level (FOW):</t>
    </r>
  </si>
  <si>
    <r>
      <t>Front-of-Wave Margin or FOW Margin (PM</t>
    </r>
    <r>
      <rPr>
        <vertAlign val="subscript"/>
        <sz val="11"/>
        <color theme="1"/>
        <rFont val="Calibri"/>
        <family val="2"/>
        <scheme val="minor"/>
      </rPr>
      <t>L1</t>
    </r>
    <r>
      <rPr>
        <sz val="11"/>
        <color theme="1"/>
        <rFont val="Calibri"/>
        <family val="2"/>
        <scheme val="minor"/>
      </rPr>
      <t>):</t>
    </r>
  </si>
  <si>
    <t>Pass/Fail Logic:</t>
  </si>
  <si>
    <r>
      <t>Full-Wave Lightning Protection Margin (PM</t>
    </r>
    <r>
      <rPr>
        <vertAlign val="subscript"/>
        <sz val="11"/>
        <color theme="1"/>
        <rFont val="Calibri"/>
        <family val="2"/>
        <scheme val="minor"/>
      </rPr>
      <t>L2</t>
    </r>
    <r>
      <rPr>
        <sz val="11"/>
        <color theme="1"/>
        <rFont val="Calibri"/>
        <family val="2"/>
        <scheme val="minor"/>
      </rPr>
      <t>):</t>
    </r>
  </si>
  <si>
    <t>Power Frequency Withstand Check:</t>
  </si>
  <si>
    <r>
      <t>The Derated Power Frequency Withstand &gt;= Maximum System Voltage (U</t>
    </r>
    <r>
      <rPr>
        <vertAlign val="subscript"/>
        <sz val="11"/>
        <color theme="1"/>
        <rFont val="Calibri"/>
        <family val="2"/>
        <scheme val="minor"/>
      </rPr>
      <t>M</t>
    </r>
    <r>
      <rPr>
        <sz val="11"/>
        <color theme="1"/>
        <rFont val="Calibri"/>
        <family val="2"/>
        <scheme val="minor"/>
      </rPr>
      <t>)</t>
    </r>
  </si>
  <si>
    <t>Calculation of the Derated Equipment Strength</t>
  </si>
  <si>
    <t>The IEC Calculation Block</t>
  </si>
  <si>
    <t>Standard Lightning Impulse Withstand (BIL):</t>
  </si>
  <si>
    <t>Standard Power Frequency Withstand Voltage (PFW):</t>
  </si>
  <si>
    <t>IEEE Naming of Arrester Ratings</t>
  </si>
  <si>
    <r>
      <t>Continuous Operating Voltage (</t>
    </r>
    <r>
      <rPr>
        <i/>
        <sz val="11"/>
        <color rgb="FF303030"/>
        <rFont val="KaTeX_Math"/>
      </rPr>
      <t>U</t>
    </r>
    <r>
      <rPr>
        <i/>
        <vertAlign val="subscript"/>
        <sz val="11"/>
        <color rgb="FF303030"/>
        <rFont val="KaTeX_Math"/>
      </rPr>
      <t>c</t>
    </r>
    <r>
      <rPr>
        <vertAlign val="subscript"/>
        <sz val="11"/>
        <color rgb="FF303030"/>
        <rFont val="Times New Roman"/>
        <family val="1"/>
      </rPr>
      <t>​</t>
    </r>
    <r>
      <rPr>
        <sz val="11"/>
        <color rgb="FF303030"/>
        <rFont val="Google Sans Text"/>
      </rPr>
      <t>):</t>
    </r>
  </si>
  <si>
    <t>Steep Current Impulse Residual Voltage:</t>
  </si>
  <si>
    <r>
      <t>Switching Impulse Protection Level (</t>
    </r>
    <r>
      <rPr>
        <i/>
        <sz val="13.3"/>
        <color rgb="FF303030"/>
        <rFont val="KaTeX_Math"/>
      </rPr>
      <t>U</t>
    </r>
    <r>
      <rPr>
        <i/>
        <sz val="7.7"/>
        <color rgb="FF303030"/>
        <rFont val="KaTeX_Math"/>
      </rPr>
      <t>ps</t>
    </r>
    <r>
      <rPr>
        <sz val="1"/>
        <color rgb="FF303030"/>
        <rFont val="Times New Roman"/>
        <family val="1"/>
      </rPr>
      <t>​</t>
    </r>
    <r>
      <rPr>
        <sz val="12"/>
        <color rgb="FF303030"/>
        <rFont val="Google Sans Text"/>
      </rPr>
      <t>):</t>
    </r>
  </si>
  <si>
    <t>IEEE / ANSI C62.11 Standard Arrester</t>
  </si>
  <si>
    <t>IEC 60099-4 Standard Arrester</t>
  </si>
  <si>
    <r>
      <t>(kV</t>
    </r>
    <r>
      <rPr>
        <vertAlign val="subscript"/>
        <sz val="11"/>
        <color theme="1"/>
        <rFont val="Calibri"/>
        <family val="2"/>
        <scheme val="minor"/>
      </rPr>
      <t>RMS</t>
    </r>
    <r>
      <rPr>
        <sz val="11"/>
        <color theme="1"/>
        <rFont val="Calibri"/>
        <family val="2"/>
        <scheme val="minor"/>
      </rPr>
      <t>)</t>
    </r>
  </si>
  <si>
    <r>
      <t>(kV</t>
    </r>
    <r>
      <rPr>
        <vertAlign val="subscript"/>
        <sz val="11"/>
        <color theme="1"/>
        <rFont val="Calibri"/>
        <family val="2"/>
        <scheme val="minor"/>
      </rPr>
      <t>peak</t>
    </r>
    <r>
      <rPr>
        <sz val="11"/>
        <color theme="1"/>
        <rFont val="Calibri"/>
        <family val="2"/>
        <scheme val="minor"/>
      </rPr>
      <t>)</t>
    </r>
  </si>
  <si>
    <r>
      <rPr>
        <b/>
        <sz val="11"/>
        <color theme="1"/>
        <rFont val="Calibri"/>
        <family val="2"/>
        <scheme val="minor"/>
      </rPr>
      <t>L</t>
    </r>
    <r>
      <rPr>
        <sz val="11"/>
        <color theme="1"/>
        <rFont val="Calibri"/>
        <family val="2"/>
        <scheme val="minor"/>
      </rPr>
      <t xml:space="preserve">ightning Impulse </t>
    </r>
    <r>
      <rPr>
        <b/>
        <sz val="11"/>
        <color theme="1"/>
        <rFont val="Calibri"/>
        <family val="2"/>
        <scheme val="minor"/>
      </rPr>
      <t>P</t>
    </r>
    <r>
      <rPr>
        <sz val="11"/>
        <color theme="1"/>
        <rFont val="Calibri"/>
        <family val="2"/>
        <scheme val="minor"/>
      </rPr>
      <t xml:space="preserve">rotective </t>
    </r>
    <r>
      <rPr>
        <b/>
        <sz val="11"/>
        <color theme="1"/>
        <rFont val="Calibri"/>
        <family val="2"/>
        <scheme val="minor"/>
      </rPr>
      <t>L</t>
    </r>
    <r>
      <rPr>
        <sz val="11"/>
        <color theme="1"/>
        <rFont val="Calibri"/>
        <family val="2"/>
        <scheme val="minor"/>
      </rPr>
      <t>evel (LPL):</t>
    </r>
  </si>
  <si>
    <r>
      <t>Lightning Impulse Protection Level (</t>
    </r>
    <r>
      <rPr>
        <i/>
        <sz val="13.3"/>
        <color rgb="FF303030"/>
        <rFont val="Calibri"/>
        <family val="2"/>
        <scheme val="minor"/>
      </rPr>
      <t>U</t>
    </r>
    <r>
      <rPr>
        <i/>
        <sz val="7.7"/>
        <color rgb="FF303030"/>
        <rFont val="Calibri"/>
        <family val="2"/>
        <scheme val="minor"/>
      </rPr>
      <t>pl</t>
    </r>
    <r>
      <rPr>
        <sz val="1"/>
        <color rgb="FF303030"/>
        <rFont val="Calibri"/>
        <family val="2"/>
        <scheme val="minor"/>
      </rPr>
      <t>​</t>
    </r>
    <r>
      <rPr>
        <sz val="12"/>
        <color rgb="FF303030"/>
        <rFont val="Calibri"/>
        <family val="2"/>
        <scheme val="minor"/>
      </rPr>
      <t>)</t>
    </r>
  </si>
  <si>
    <r>
      <t>Fast-Front (Lightning) Coordination Voltage (U</t>
    </r>
    <r>
      <rPr>
        <vertAlign val="subscript"/>
        <sz val="11"/>
        <color theme="1"/>
        <rFont val="Calibri"/>
        <family val="2"/>
        <scheme val="minor"/>
      </rPr>
      <t>CW_ff</t>
    </r>
    <r>
      <rPr>
        <sz val="11"/>
        <color theme="1"/>
        <rFont val="Calibri"/>
        <family val="2"/>
        <scheme val="minor"/>
      </rPr>
      <t>)</t>
    </r>
  </si>
  <si>
    <r>
      <t>Slow-Front (Switching) Coordination Voltage (U</t>
    </r>
    <r>
      <rPr>
        <i/>
        <vertAlign val="subscript"/>
        <sz val="11"/>
        <color theme="1"/>
        <rFont val="Calibri"/>
        <family val="2"/>
        <scheme val="minor"/>
      </rPr>
      <t>cw_sf</t>
    </r>
    <r>
      <rPr>
        <sz val="11"/>
        <color theme="1"/>
        <rFont val="Calibri"/>
        <family val="2"/>
        <scheme val="minor"/>
      </rPr>
      <t>)</t>
    </r>
  </si>
  <si>
    <r>
      <t>Fast-Front (Lightning) Coordination Voltage (U</t>
    </r>
    <r>
      <rPr>
        <i/>
        <vertAlign val="subscript"/>
        <sz val="11"/>
        <color theme="1"/>
        <rFont val="Calibri"/>
        <family val="2"/>
        <scheme val="minor"/>
      </rPr>
      <t>CW_ff</t>
    </r>
    <r>
      <rPr>
        <sz val="11"/>
        <color theme="1"/>
        <rFont val="Calibri"/>
        <family val="2"/>
        <scheme val="minor"/>
      </rPr>
      <t>):</t>
    </r>
  </si>
  <si>
    <r>
      <t>Slow-Front (Switching) Coordination Voltage (</t>
    </r>
    <r>
      <rPr>
        <i/>
        <sz val="13.3"/>
        <color rgb="FF303030"/>
        <rFont val="KaTeX_Math"/>
      </rPr>
      <t>U</t>
    </r>
    <r>
      <rPr>
        <i/>
        <sz val="7.7"/>
        <color rgb="FF303030"/>
        <rFont val="KaTeX_Math"/>
      </rPr>
      <t>cw</t>
    </r>
    <r>
      <rPr>
        <sz val="7.7"/>
        <color rgb="FF303030"/>
        <rFont val="Times New Roman"/>
        <family val="1"/>
      </rPr>
      <t>_</t>
    </r>
    <r>
      <rPr>
        <i/>
        <sz val="7.7"/>
        <color rgb="FF303030"/>
        <rFont val="KaTeX_Math"/>
      </rPr>
      <t>sf</t>
    </r>
    <r>
      <rPr>
        <sz val="1"/>
        <color rgb="FF303030"/>
        <rFont val="Times New Roman"/>
        <family val="1"/>
      </rPr>
      <t>​</t>
    </r>
    <r>
      <rPr>
        <sz val="12"/>
        <color rgb="FF303030"/>
        <rFont val="Google Sans Text"/>
      </rPr>
      <t>)</t>
    </r>
  </si>
  <si>
    <t>Step 3:</t>
  </si>
  <si>
    <r>
      <t>Apply the IEC Safety Factor (</t>
    </r>
    <r>
      <rPr>
        <i/>
        <sz val="11"/>
        <color rgb="FF303030"/>
        <rFont val="KaTeX_Math"/>
      </rPr>
      <t>Ks</t>
    </r>
    <r>
      <rPr>
        <sz val="11"/>
        <color rgb="FF303030"/>
        <rFont val="Times New Roman"/>
        <family val="1"/>
      </rPr>
      <t>​</t>
    </r>
    <r>
      <rPr>
        <sz val="11"/>
        <color rgb="FF303030"/>
        <rFont val="Google Sans Text"/>
      </rPr>
      <t>)</t>
    </r>
  </si>
  <si>
    <r>
      <t>Calculate Altitude Correction (</t>
    </r>
    <r>
      <rPr>
        <i/>
        <sz val="11"/>
        <color rgb="FF303030"/>
        <rFont val="Calibri"/>
        <family val="2"/>
        <scheme val="minor"/>
      </rPr>
      <t>Ka</t>
    </r>
    <r>
      <rPr>
        <sz val="11"/>
        <color rgb="FF303030"/>
        <rFont val="Calibri"/>
        <family val="2"/>
        <scheme val="minor"/>
      </rPr>
      <t>​) &amp; Required Withstand (</t>
    </r>
    <r>
      <rPr>
        <i/>
        <sz val="11"/>
        <color rgb="FF303030"/>
        <rFont val="Calibri"/>
        <family val="2"/>
        <scheme val="minor"/>
      </rPr>
      <t>Urw</t>
    </r>
    <r>
      <rPr>
        <sz val="11"/>
        <color rgb="FF303030"/>
        <rFont val="Calibri"/>
        <family val="2"/>
        <scheme val="minor"/>
      </rPr>
      <t>​)</t>
    </r>
  </si>
  <si>
    <r>
      <t>IEC Altitude Correction Factor (K</t>
    </r>
    <r>
      <rPr>
        <vertAlign val="subscript"/>
        <sz val="11"/>
        <color theme="1"/>
        <rFont val="Calibri"/>
        <family val="2"/>
        <scheme val="minor"/>
      </rPr>
      <t>a</t>
    </r>
    <r>
      <rPr>
        <sz val="11"/>
        <color theme="1"/>
        <rFont val="Calibri"/>
        <family val="2"/>
        <scheme val="minor"/>
      </rPr>
      <t>):</t>
    </r>
  </si>
  <si>
    <t>Elevation in meters (H):</t>
  </si>
  <si>
    <r>
      <t>Calculate the Required Withstand Voltages (</t>
    </r>
    <r>
      <rPr>
        <i/>
        <sz val="11"/>
        <color rgb="FF303030"/>
        <rFont val="KaTeX_Math"/>
      </rPr>
      <t>U</t>
    </r>
    <r>
      <rPr>
        <i/>
        <vertAlign val="subscript"/>
        <sz val="11"/>
        <color rgb="FF303030"/>
        <rFont val="KaTeX_Math"/>
      </rPr>
      <t>rw</t>
    </r>
    <r>
      <rPr>
        <vertAlign val="subscript"/>
        <sz val="11"/>
        <color rgb="FF303030"/>
        <rFont val="Times New Roman"/>
        <family val="1"/>
      </rPr>
      <t>​</t>
    </r>
    <r>
      <rPr>
        <sz val="11"/>
        <color rgb="FF303030"/>
        <rFont val="Google Sans Text"/>
      </rPr>
      <t>):</t>
    </r>
  </si>
  <si>
    <r>
      <t>Required Fast-Front Withstand (</t>
    </r>
    <r>
      <rPr>
        <i/>
        <sz val="11"/>
        <color rgb="FF303030"/>
        <rFont val="Calibri"/>
        <family val="2"/>
        <scheme val="minor"/>
      </rPr>
      <t>U</t>
    </r>
    <r>
      <rPr>
        <i/>
        <vertAlign val="subscript"/>
        <sz val="11"/>
        <color rgb="FF303030"/>
        <rFont val="Calibri"/>
        <family val="2"/>
        <scheme val="minor"/>
      </rPr>
      <t>rw_ff​</t>
    </r>
    <r>
      <rPr>
        <sz val="11"/>
        <color rgb="FF303030"/>
        <rFont val="Calibri"/>
        <family val="2"/>
        <scheme val="minor"/>
      </rPr>
      <t>)</t>
    </r>
    <r>
      <rPr>
        <sz val="11"/>
        <color rgb="FF303030"/>
        <rFont val="Google Sans Text"/>
      </rPr>
      <t>:</t>
    </r>
  </si>
  <si>
    <r>
      <t>Required Slow-Front Withstand (</t>
    </r>
    <r>
      <rPr>
        <i/>
        <sz val="11"/>
        <color rgb="FF303030"/>
        <rFont val="Calibri"/>
        <family val="2"/>
        <scheme val="minor"/>
      </rPr>
      <t>U</t>
    </r>
    <r>
      <rPr>
        <i/>
        <vertAlign val="subscript"/>
        <sz val="11"/>
        <color rgb="FF303030"/>
        <rFont val="Calibri"/>
        <family val="2"/>
        <scheme val="minor"/>
      </rPr>
      <t>rw</t>
    </r>
    <r>
      <rPr>
        <vertAlign val="subscript"/>
        <sz val="11"/>
        <color rgb="FF303030"/>
        <rFont val="Calibri"/>
        <family val="2"/>
        <scheme val="minor"/>
      </rPr>
      <t>_</t>
    </r>
    <r>
      <rPr>
        <i/>
        <vertAlign val="subscript"/>
        <sz val="11"/>
        <color rgb="FF303030"/>
        <rFont val="Calibri"/>
        <family val="2"/>
        <scheme val="minor"/>
      </rPr>
      <t>sf</t>
    </r>
    <r>
      <rPr>
        <sz val="11"/>
        <color rgb="FF303030"/>
        <rFont val="Calibri"/>
        <family val="2"/>
        <scheme val="minor"/>
      </rPr>
      <t>​):</t>
    </r>
  </si>
  <si>
    <r>
      <t>Slow-Front (Switching) Coordination Voltage (U</t>
    </r>
    <r>
      <rPr>
        <i/>
        <vertAlign val="subscript"/>
        <sz val="11"/>
        <color theme="1"/>
        <rFont val="Calibri"/>
        <family val="2"/>
        <scheme val="minor"/>
      </rPr>
      <t>cw_sf</t>
    </r>
    <r>
      <rPr>
        <sz val="11"/>
        <color theme="1"/>
        <rFont val="Calibri"/>
        <family val="2"/>
        <scheme val="minor"/>
      </rPr>
      <t>):</t>
    </r>
  </si>
  <si>
    <t>Step 4:</t>
  </si>
  <si>
    <t>Step 4: The Pass/Fail Comparison</t>
  </si>
  <si>
    <t>Fast-Front (Lightning) Check:</t>
  </si>
  <si>
    <t>Slow-Front (Switching) Check:</t>
  </si>
  <si>
    <t>Power Frequency Check (Baseline Capability):</t>
  </si>
  <si>
    <t>Required PFW (Urw_pf):</t>
  </si>
  <si>
    <t>IEC BIL Requirement without Surge Arrester:</t>
  </si>
  <si>
    <t>IEEE BIL Requirement without Sruge Arrester:</t>
  </si>
  <si>
    <r>
      <rPr>
        <b/>
        <sz val="10"/>
        <color theme="1"/>
        <rFont val="Calibri"/>
        <family val="2"/>
        <scheme val="minor"/>
      </rPr>
      <t>Note 2:</t>
    </r>
    <r>
      <rPr>
        <sz val="10"/>
        <color theme="1"/>
        <rFont val="Calibri"/>
        <family val="2"/>
        <scheme val="minor"/>
      </rPr>
      <t xml:space="preserve"> LPL is also known as the discharge voltage for the arrester at a given value of discharge current.  See arrester tables. </t>
    </r>
  </si>
  <si>
    <r>
      <t>Surge Rate-of-Rise (</t>
    </r>
    <r>
      <rPr>
        <i/>
        <sz val="11"/>
        <color theme="1"/>
        <rFont val="Calibri"/>
        <family val="2"/>
        <scheme val="minor"/>
      </rPr>
      <t>di/dt</t>
    </r>
    <r>
      <rPr>
        <sz val="11"/>
        <color theme="1"/>
        <rFont val="Calibri"/>
        <family val="2"/>
        <scheme val="minor"/>
      </rPr>
      <t>)</t>
    </r>
    <r>
      <rPr>
        <vertAlign val="superscript"/>
        <sz val="11"/>
        <color theme="1"/>
        <rFont val="Calibri"/>
        <family val="2"/>
        <scheme val="minor"/>
      </rPr>
      <t>2</t>
    </r>
    <r>
      <rPr>
        <sz val="11"/>
        <color theme="1"/>
        <rFont val="Calibri"/>
        <family val="2"/>
        <scheme val="minor"/>
      </rPr>
      <t xml:space="preserve">: </t>
    </r>
  </si>
  <si>
    <r>
      <t>Target (Installation) Altitude</t>
    </r>
    <r>
      <rPr>
        <vertAlign val="superscript"/>
        <sz val="11"/>
        <color theme="1"/>
        <rFont val="Calibri"/>
        <family val="2"/>
        <scheme val="minor"/>
      </rPr>
      <t>1</t>
    </r>
    <r>
      <rPr>
        <sz val="11"/>
        <color theme="1"/>
        <rFont val="Calibri"/>
        <family val="2"/>
        <scheme val="minor"/>
      </rPr>
      <t>:</t>
    </r>
  </si>
  <si>
    <t>MCOV Rating:</t>
  </si>
  <si>
    <t>for a pass condition</t>
  </si>
  <si>
    <t>Pass</t>
  </si>
  <si>
    <t>Fail:</t>
  </si>
  <si>
    <t>IEEE C62.22 PROTECTIVE MARGIN VERIFICATION</t>
  </si>
  <si>
    <t>Evaluation Parameter</t>
  </si>
  <si>
    <t>Power-Frequency Withstand</t>
  </si>
  <si>
    <t>Total Surge Voltage 
(Arrester + Lead Voltage Drop)</t>
  </si>
  <si>
    <t>Calculated
Margin
(%)</t>
  </si>
  <si>
    <t>Required
Margin
(%)</t>
  </si>
  <si>
    <t>Status</t>
  </si>
  <si>
    <t>N/A
(Direct Check)</t>
  </si>
  <si>
    <t>≥ 20%</t>
  </si>
  <si>
    <t>N/A</t>
  </si>
  <si>
    <r>
      <t xml:space="preserve">Front-of-Wave
</t>
    </r>
    <r>
      <rPr>
        <b/>
        <sz val="14"/>
        <color rgb="FFC00000"/>
        <rFont val="Calibri"/>
        <family val="2"/>
        <scheme val="minor"/>
      </rPr>
      <t>(</t>
    </r>
    <r>
      <rPr>
        <b/>
        <i/>
        <sz val="14"/>
        <color rgb="FFC00000"/>
        <rFont val="Calibri"/>
        <family val="2"/>
        <scheme val="minor"/>
      </rPr>
      <t>PM</t>
    </r>
    <r>
      <rPr>
        <b/>
        <i/>
        <vertAlign val="subscript"/>
        <sz val="14"/>
        <color rgb="FFC00000"/>
        <rFont val="Calibri"/>
        <family val="2"/>
        <scheme val="minor"/>
      </rPr>
      <t>L1</t>
    </r>
    <r>
      <rPr>
        <b/>
        <sz val="14"/>
        <color rgb="FFC00000"/>
        <rFont val="Calibri"/>
        <family val="2"/>
        <scheme val="minor"/>
      </rPr>
      <t>)</t>
    </r>
  </si>
  <si>
    <r>
      <t>Full-Wave
Lightning
(</t>
    </r>
    <r>
      <rPr>
        <b/>
        <i/>
        <sz val="14"/>
        <color rgb="FFC00000"/>
        <rFont val="Calibri"/>
        <family val="2"/>
        <scheme val="minor"/>
      </rPr>
      <t>PM</t>
    </r>
    <r>
      <rPr>
        <b/>
        <i/>
        <vertAlign val="subscript"/>
        <sz val="14"/>
        <color rgb="FFC00000"/>
        <rFont val="Calibri"/>
        <family val="2"/>
        <scheme val="minor"/>
      </rPr>
      <t>L2</t>
    </r>
    <r>
      <rPr>
        <b/>
        <sz val="11"/>
        <color rgb="FFC00000"/>
        <rFont val="Calibri"/>
        <family val="2"/>
        <scheme val="minor"/>
      </rPr>
      <t>)</t>
    </r>
  </si>
  <si>
    <t>JUSTIFICATION SECTION</t>
  </si>
  <si>
    <t>IEC 60071-2 REQUIRED WITHSTAND VOLTAGES</t>
  </si>
  <si>
    <t>Evaluation
Parameter</t>
  </si>
  <si>
    <t>Fast-Front 
(Lightning Withstand)</t>
  </si>
  <si>
    <t>Power-Frequency
Withstand</t>
  </si>
  <si>
    <r>
      <t>Required Sea-Level
Rating (</t>
    </r>
    <r>
      <rPr>
        <b/>
        <i/>
        <sz val="11"/>
        <color rgb="FFC00000"/>
        <rFont val="Calibri"/>
        <family val="2"/>
        <scheme val="minor"/>
      </rPr>
      <t>Urw</t>
    </r>
    <r>
      <rPr>
        <b/>
        <sz val="11"/>
        <color rgb="FFC00000"/>
        <rFont val="Calibri"/>
        <family val="2"/>
        <scheme val="minor"/>
      </rPr>
      <t>)</t>
    </r>
  </si>
  <si>
    <t>Standard Nameplate Rating 
(Actual)</t>
  </si>
  <si>
    <t>Urw_ff</t>
  </si>
  <si>
    <t>Urw_sf</t>
  </si>
  <si>
    <t>Urw_pf</t>
  </si>
  <si>
    <t>Note: A PASS indicates that the Required Withstand Voltages (Urw ) — which account for the arrester clamping level, the IEC safety factor, and the upward atmospheric correction for altitude—are strictly less than or equal to the actual sea-level Nameplate Ratings of the chosen equipment</t>
  </si>
  <si>
    <t>Note: A PASS indicates the arrester maintains a protective ratio strictly greater than the 1.2. The minimum mandated by IEEE C62.22 for non-self-restoring insulation.</t>
  </si>
  <si>
    <t>VarStec Capacitor Bank Altitude Derating &amp; Insulation Coordination Tool</t>
  </si>
  <si>
    <t>Derated Equipment Strength 
(at Altitude)</t>
  </si>
  <si>
    <r>
      <rPr>
        <b/>
        <sz val="10"/>
        <color theme="1"/>
        <rFont val="Calibri"/>
        <family val="2"/>
        <scheme val="minor"/>
      </rPr>
      <t>Note 1:</t>
    </r>
    <r>
      <rPr>
        <sz val="10"/>
        <color theme="1"/>
        <rFont val="Calibri"/>
        <family val="2"/>
        <scheme val="minor"/>
      </rPr>
      <t xml:space="preserve"> This is the intended or target altitude where the metal-enclosed capacitor bank or harmonic filter bank will be installed. </t>
    </r>
  </si>
  <si>
    <t xml:space="preserve">Slow-Front
(Switching Withstand)
</t>
  </si>
  <si>
    <t>The Critical Importance of Arrester Lead Length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</si>
</sst>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47">
    <font>
      <sz val="11"/>
      <color theme="1"/>
      <name val="Calibri"/>
      <family val="2"/>
      <scheme val="minor"/>
    </font>
    <font>
      <sz val="11"/>
      <color theme="1"/>
      <name val="Calibri"/>
      <family val="2"/>
      <scheme val="minor"/>
    </font>
    <font>
      <b/>
      <sz val="11"/>
      <color theme="1"/>
      <name val="Calibri"/>
      <family val="2"/>
      <scheme val="minor"/>
    </font>
    <font>
      <b/>
      <sz val="11"/>
      <color rgb="FF0E9ED9"/>
      <name val="Calibri"/>
      <family val="2"/>
      <scheme val="minor"/>
    </font>
    <font>
      <b/>
      <sz val="14"/>
      <color rgb="FF0E9ED9"/>
      <name val="Calibri"/>
      <family val="2"/>
      <scheme val="minor"/>
    </font>
    <font>
      <u/>
      <sz val="11"/>
      <color theme="10"/>
      <name val="Calibri"/>
      <family val="2"/>
      <scheme val="minor"/>
    </font>
    <font>
      <i/>
      <sz val="10"/>
      <color theme="0" tint="-0.14999847407452621"/>
      <name val="Calibri"/>
      <family val="2"/>
      <scheme val="minor"/>
    </font>
    <font>
      <b/>
      <sz val="16"/>
      <color rgb="FF0E9ED9"/>
      <name val="Calibri"/>
      <family val="2"/>
      <scheme val="minor"/>
    </font>
    <font>
      <sz val="11"/>
      <name val="Calibri"/>
      <family val="2"/>
      <scheme val="minor"/>
    </font>
    <font>
      <vertAlign val="subscript"/>
      <sz val="11"/>
      <color theme="1"/>
      <name val="Calibri"/>
      <family val="2"/>
      <scheme val="minor"/>
    </font>
    <font>
      <sz val="11"/>
      <color theme="1"/>
      <name val="Calibri"/>
      <family val="2"/>
    </font>
    <font>
      <sz val="10"/>
      <color theme="1"/>
      <name val="Calibri"/>
      <family val="2"/>
      <scheme val="minor"/>
    </font>
    <font>
      <b/>
      <sz val="10"/>
      <color theme="1"/>
      <name val="Calibri"/>
      <family val="2"/>
      <scheme val="minor"/>
    </font>
    <font>
      <b/>
      <sz val="14"/>
      <color rgb="FF00B0F0"/>
      <name val="Calibri"/>
      <family val="2"/>
      <scheme val="minor"/>
    </font>
    <font>
      <vertAlign val="subscript"/>
      <sz val="10"/>
      <color theme="1"/>
      <name val="Calibri"/>
      <family val="2"/>
      <scheme val="minor"/>
    </font>
    <font>
      <b/>
      <sz val="11"/>
      <color rgb="FF303030"/>
      <name val="Arial"/>
      <family val="2"/>
    </font>
    <font>
      <b/>
      <sz val="14"/>
      <color theme="1"/>
      <name val="Calibri"/>
      <family val="2"/>
      <scheme val="minor"/>
    </font>
    <font>
      <i/>
      <sz val="16"/>
      <color theme="1"/>
      <name val="Calibri"/>
      <family val="2"/>
      <scheme val="minor"/>
    </font>
    <font>
      <sz val="12"/>
      <color theme="1"/>
      <name val="Calibri"/>
      <family val="2"/>
      <scheme val="minor"/>
    </font>
    <font>
      <vertAlign val="superscript"/>
      <sz val="11"/>
      <color theme="1"/>
      <name val="Calibri"/>
      <family val="2"/>
      <scheme val="minor"/>
    </font>
    <font>
      <b/>
      <sz val="11"/>
      <color rgb="FFB8E7FA"/>
      <name val="Calibri"/>
      <family val="2"/>
      <scheme val="minor"/>
    </font>
    <font>
      <b/>
      <sz val="11"/>
      <color rgb="FF00B0F0"/>
      <name val="Calibri"/>
      <family val="2"/>
      <scheme val="minor"/>
    </font>
    <font>
      <sz val="12"/>
      <color rgb="FF303030"/>
      <name val="Google Sans Text"/>
    </font>
    <font>
      <sz val="11"/>
      <color rgb="FF303030"/>
      <name val="Calibri"/>
      <family val="2"/>
      <scheme val="minor"/>
    </font>
    <font>
      <i/>
      <sz val="11"/>
      <color theme="1"/>
      <name val="Calibri"/>
      <family val="2"/>
      <scheme val="minor"/>
    </font>
    <font>
      <i/>
      <sz val="13.3"/>
      <color rgb="FF303030"/>
      <name val="KaTeX_Math"/>
    </font>
    <font>
      <sz val="7.7"/>
      <color rgb="FF303030"/>
      <name val="Times New Roman"/>
      <family val="1"/>
    </font>
    <font>
      <i/>
      <sz val="7.7"/>
      <color rgb="FF303030"/>
      <name val="KaTeX_Math"/>
    </font>
    <font>
      <sz val="1"/>
      <color rgb="FF303030"/>
      <name val="Times New Roman"/>
      <family val="1"/>
    </font>
    <font>
      <sz val="11"/>
      <color rgb="FF303030"/>
      <name val="Google Sans Text"/>
    </font>
    <font>
      <i/>
      <sz val="11"/>
      <color rgb="FF303030"/>
      <name val="KaTeX_Math"/>
    </font>
    <font>
      <sz val="11"/>
      <color rgb="FF303030"/>
      <name val="Times New Roman"/>
      <family val="1"/>
    </font>
    <font>
      <i/>
      <vertAlign val="subscript"/>
      <sz val="11"/>
      <color rgb="FF303030"/>
      <name val="KaTeX_Math"/>
    </font>
    <font>
      <vertAlign val="subscript"/>
      <sz val="11"/>
      <color rgb="FF303030"/>
      <name val="Times New Roman"/>
      <family val="1"/>
    </font>
    <font>
      <i/>
      <sz val="13.3"/>
      <color rgb="FF303030"/>
      <name val="Calibri"/>
      <family val="2"/>
      <scheme val="minor"/>
    </font>
    <font>
      <i/>
      <sz val="7.7"/>
      <color rgb="FF303030"/>
      <name val="Calibri"/>
      <family val="2"/>
      <scheme val="minor"/>
    </font>
    <font>
      <sz val="1"/>
      <color rgb="FF303030"/>
      <name val="Calibri"/>
      <family val="2"/>
      <scheme val="minor"/>
    </font>
    <font>
      <sz val="12"/>
      <color rgb="FF303030"/>
      <name val="Calibri"/>
      <family val="2"/>
      <scheme val="minor"/>
    </font>
    <font>
      <i/>
      <vertAlign val="subscript"/>
      <sz val="11"/>
      <color theme="1"/>
      <name val="Calibri"/>
      <family val="2"/>
      <scheme val="minor"/>
    </font>
    <font>
      <i/>
      <sz val="11"/>
      <color rgb="FF303030"/>
      <name val="Calibri"/>
      <family val="2"/>
      <scheme val="minor"/>
    </font>
    <font>
      <i/>
      <vertAlign val="subscript"/>
      <sz val="11"/>
      <color rgb="FF303030"/>
      <name val="Calibri"/>
      <family val="2"/>
      <scheme val="minor"/>
    </font>
    <font>
      <vertAlign val="subscript"/>
      <sz val="11"/>
      <color rgb="FF303030"/>
      <name val="Calibri"/>
      <family val="2"/>
      <scheme val="minor"/>
    </font>
    <font>
      <b/>
      <sz val="11"/>
      <color rgb="FFC00000"/>
      <name val="Calibri"/>
      <family val="2"/>
      <scheme val="minor"/>
    </font>
    <font>
      <b/>
      <sz val="14"/>
      <color rgb="FFC00000"/>
      <name val="Calibri"/>
      <family val="2"/>
      <scheme val="minor"/>
    </font>
    <font>
      <b/>
      <i/>
      <sz val="14"/>
      <color rgb="FFC00000"/>
      <name val="Calibri"/>
      <family val="2"/>
      <scheme val="minor"/>
    </font>
    <font>
      <b/>
      <i/>
      <vertAlign val="subscript"/>
      <sz val="14"/>
      <color rgb="FFC00000"/>
      <name val="Calibri"/>
      <family val="2"/>
      <scheme val="minor"/>
    </font>
    <font>
      <b/>
      <i/>
      <sz val="11"/>
      <color rgb="FFC00000"/>
      <name val="Calibri"/>
      <family val="2"/>
      <scheme val="minor"/>
    </font>
  </fonts>
  <fills count="7">
    <fill>
      <patternFill patternType="none"/>
    </fill>
    <fill>
      <patternFill patternType="gray125"/>
    </fill>
    <fill>
      <patternFill patternType="solid">
        <fgColor rgb="FFFFFFCC"/>
      </patternFill>
    </fill>
    <fill>
      <patternFill patternType="solid">
        <fgColor rgb="FFB8E7FA"/>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69">
    <border>
      <left/>
      <right/>
      <top/>
      <bottom/>
      <diagonal/>
    </border>
    <border>
      <left style="thin">
        <color rgb="FFB2B2B2"/>
      </left>
      <right style="thin">
        <color rgb="FFB2B2B2"/>
      </right>
      <top style="thin">
        <color rgb="FFB2B2B2"/>
      </top>
      <bottom style="thin">
        <color rgb="FFB2B2B2"/>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right/>
      <top/>
      <bottom style="medium">
        <color rgb="FFC00000"/>
      </bottom>
      <diagonal/>
    </border>
    <border>
      <left/>
      <right/>
      <top style="medium">
        <color rgb="FFC00000"/>
      </top>
      <bottom/>
      <diagonal/>
    </border>
    <border>
      <left/>
      <right/>
      <top/>
      <bottom style="thin">
        <color rgb="FFC00000"/>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thin">
        <color rgb="FFC00000"/>
      </left>
      <right/>
      <top/>
      <bottom style="thin">
        <color rgb="FFC00000"/>
      </bottom>
      <diagonal/>
    </border>
    <border>
      <left/>
      <right style="thin">
        <color rgb="FFC00000"/>
      </right>
      <top/>
      <bottom style="thin">
        <color rgb="FFC00000"/>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style="thin">
        <color rgb="FFC00000"/>
      </left>
      <right style="thin">
        <color rgb="FFC00000"/>
      </right>
      <top/>
      <bottom/>
      <diagonal/>
    </border>
    <border>
      <left style="thin">
        <color rgb="FFB2B2B2"/>
      </left>
      <right style="thin">
        <color rgb="FFB2B2B2"/>
      </right>
      <top/>
      <bottom style="thin">
        <color rgb="FFB2B2B2"/>
      </bottom>
      <diagonal/>
    </border>
    <border>
      <left/>
      <right/>
      <top/>
      <bottom style="thin">
        <color indexed="64"/>
      </bottom>
      <diagonal/>
    </border>
    <border>
      <left/>
      <right/>
      <top/>
      <bottom style="thin">
        <color theme="0" tint="-0.14996795556505021"/>
      </bottom>
      <diagonal/>
    </border>
    <border>
      <left/>
      <right/>
      <top style="thin">
        <color theme="0" tint="-0.14996795556505021"/>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bottom style="thin">
        <color theme="0" tint="-0.14996795556505021"/>
      </bottom>
      <diagonal/>
    </border>
    <border>
      <left style="thin">
        <color theme="0" tint="-0.14990691854609822"/>
      </left>
      <right style="thin">
        <color theme="0" tint="-0.14990691854609822"/>
      </right>
      <top style="thin">
        <color theme="0" tint="-0.14996795556505021"/>
      </top>
      <bottom/>
      <diagonal/>
    </border>
    <border>
      <left style="thin">
        <color theme="0" tint="-0.14990691854609822"/>
      </left>
      <right/>
      <top/>
      <bottom/>
      <diagonal/>
    </border>
    <border>
      <left/>
      <right style="thin">
        <color theme="0" tint="-0.14990691854609822"/>
      </right>
      <top/>
      <bottom/>
      <diagonal/>
    </border>
    <border>
      <left/>
      <right style="thin">
        <color theme="0" tint="-0.1498764000366222"/>
      </right>
      <top style="thin">
        <color theme="0" tint="-0.1498764000366222"/>
      </top>
      <bottom style="thin">
        <color theme="0" tint="-0.1498764000366222"/>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theme="0" tint="-0.1498764000366222"/>
      </left>
      <right style="thin">
        <color theme="0" tint="-0.1498764000366222"/>
      </right>
      <top style="thin">
        <color theme="0" tint="-0.1498764000366222"/>
      </top>
      <bottom/>
      <diagonal/>
    </border>
    <border>
      <left/>
      <right/>
      <top/>
      <bottom style="thin">
        <color theme="0" tint="-0.1498764000366222"/>
      </bottom>
      <diagonal/>
    </border>
    <border>
      <left style="thin">
        <color theme="0" tint="-0.1498764000366222"/>
      </left>
      <right/>
      <top style="thin">
        <color theme="0" tint="-0.1498764000366222"/>
      </top>
      <bottom style="thin">
        <color theme="0" tint="-0.1498458815271462"/>
      </bottom>
      <diagonal/>
    </border>
    <border>
      <left/>
      <right/>
      <top style="thin">
        <color theme="0" tint="-0.1498764000366222"/>
      </top>
      <bottom style="thin">
        <color theme="0" tint="-0.1498458815271462"/>
      </bottom>
      <diagonal/>
    </border>
    <border>
      <left style="thin">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style="thin">
        <color theme="0" tint="-0.14990691854609822"/>
      </left>
      <right/>
      <top/>
      <bottom style="thin">
        <color theme="0" tint="-0.14996795556505021"/>
      </bottom>
      <diagonal/>
    </border>
    <border>
      <left style="thin">
        <color theme="0" tint="-0.14990691854609822"/>
      </left>
      <right/>
      <top style="thin">
        <color theme="0" tint="-0.14996795556505021"/>
      </top>
      <bottom/>
      <diagonal/>
    </border>
    <border>
      <left style="thin">
        <color theme="0" tint="-0.1498458815271462"/>
      </left>
      <right/>
      <top style="thin">
        <color theme="0" tint="-0.1498458815271462"/>
      </top>
      <bottom/>
      <diagonal/>
    </border>
    <border>
      <left/>
      <right/>
      <top style="thin">
        <color theme="0" tint="-0.1498458815271462"/>
      </top>
      <bottom/>
      <diagonal/>
    </border>
    <border>
      <left style="thin">
        <color theme="0" tint="-0.14990691854609822"/>
      </left>
      <right style="thin">
        <color theme="0" tint="-0.14990691854609822"/>
      </right>
      <top style="thin">
        <color theme="0" tint="-0.1498458815271462"/>
      </top>
      <bottom/>
      <diagonal/>
    </border>
    <border>
      <left style="thin">
        <color theme="0" tint="-0.14990691854609822"/>
      </left>
      <right/>
      <top style="thin">
        <color theme="0" tint="-0.1498458815271462"/>
      </top>
      <bottom/>
      <diagonal/>
    </border>
    <border>
      <left style="thin">
        <color theme="0" tint="-0.1498764000366222"/>
      </left>
      <right/>
      <top style="thin">
        <color theme="0" tint="-0.1498458815271462"/>
      </top>
      <bottom style="thin">
        <color theme="0" tint="-0.1498764000366222"/>
      </bottom>
      <diagonal/>
    </border>
    <border>
      <left/>
      <right/>
      <top style="thin">
        <color theme="0" tint="-0.1498458815271462"/>
      </top>
      <bottom style="thin">
        <color theme="0" tint="-0.1498764000366222"/>
      </bottom>
      <diagonal/>
    </border>
    <border>
      <left/>
      <right style="thin">
        <color theme="0" tint="-0.1498458815271462"/>
      </right>
      <top style="thin">
        <color theme="0" tint="-0.1498458815271462"/>
      </top>
      <bottom style="thin">
        <color theme="0" tint="-0.1498764000366222"/>
      </bottom>
      <diagonal/>
    </border>
    <border>
      <left style="thin">
        <color theme="0" tint="-0.1498458815271462"/>
      </left>
      <right/>
      <top/>
      <bottom/>
      <diagonal/>
    </border>
    <border>
      <left/>
      <right style="thin">
        <color theme="0" tint="-0.1498458815271462"/>
      </right>
      <top style="thin">
        <color theme="0" tint="-0.1498764000366222"/>
      </top>
      <bottom style="thin">
        <color theme="0" tint="-0.1498764000366222"/>
      </bottom>
      <diagonal/>
    </border>
    <border>
      <left style="thin">
        <color theme="0" tint="-0.1498458815271462"/>
      </left>
      <right/>
      <top/>
      <bottom style="thin">
        <color theme="0" tint="-0.14996795556505021"/>
      </bottom>
      <diagonal/>
    </border>
    <border>
      <left style="thin">
        <color theme="0" tint="-0.1498458815271462"/>
      </left>
      <right/>
      <top style="thin">
        <color theme="0" tint="-0.14996795556505021"/>
      </top>
      <bottom/>
      <diagonal/>
    </border>
    <border>
      <left style="thin">
        <color theme="0" tint="-0.1498458815271462"/>
      </left>
      <right/>
      <top/>
      <bottom style="thin">
        <color theme="0" tint="-0.1498458815271462"/>
      </bottom>
      <diagonal/>
    </border>
    <border>
      <left/>
      <right/>
      <top/>
      <bottom style="thin">
        <color theme="0" tint="-0.1498458815271462"/>
      </bottom>
      <diagonal/>
    </border>
    <border>
      <left style="thin">
        <color theme="0" tint="-0.14990691854609822"/>
      </left>
      <right style="thin">
        <color theme="0" tint="-0.14990691854609822"/>
      </right>
      <top/>
      <bottom style="thin">
        <color theme="0" tint="-0.1498458815271462"/>
      </bottom>
      <diagonal/>
    </border>
    <border>
      <left style="thin">
        <color theme="0" tint="-0.14990691854609822"/>
      </left>
      <right/>
      <top/>
      <bottom style="thin">
        <color theme="0" tint="-0.1498458815271462"/>
      </bottom>
      <diagonal/>
    </border>
    <border>
      <left/>
      <right style="thin">
        <color theme="0" tint="-0.1498458815271462"/>
      </right>
      <top style="thin">
        <color theme="0" tint="-0.1498764000366222"/>
      </top>
      <bottom style="thin">
        <color theme="0" tint="-0.1498458815271462"/>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0691854609822"/>
      </left>
      <right/>
      <top style="thin">
        <color theme="0" tint="-0.14990691854609822"/>
      </top>
      <bottom/>
      <diagonal/>
    </border>
    <border>
      <left/>
      <right/>
      <top style="thin">
        <color theme="0" tint="-0.14990691854609822"/>
      </top>
      <bottom/>
      <diagonal/>
    </border>
    <border>
      <left/>
      <right style="thin">
        <color theme="0" tint="-0.14990691854609822"/>
      </right>
      <top style="thin">
        <color theme="0" tint="-0.14990691854609822"/>
      </top>
      <bottom/>
      <diagonal/>
    </border>
    <border>
      <left style="thin">
        <color theme="0" tint="-0.14990691854609822"/>
      </left>
      <right/>
      <top/>
      <bottom style="thin">
        <color theme="0" tint="-0.14990691854609822"/>
      </bottom>
      <diagonal/>
    </border>
    <border>
      <left/>
      <right/>
      <top/>
      <bottom style="thin">
        <color theme="0" tint="-0.14990691854609822"/>
      </bottom>
      <diagonal/>
    </border>
    <border>
      <left/>
      <right style="thin">
        <color theme="0" tint="-0.14990691854609822"/>
      </right>
      <top/>
      <bottom style="thin">
        <color theme="0" tint="-0.14990691854609822"/>
      </bottom>
      <diagonal/>
    </border>
  </borders>
  <cellStyleXfs count="4">
    <xf numFmtId="0" fontId="0" fillId="0" borderId="0"/>
    <xf numFmtId="0" fontId="1" fillId="2" borderId="1" applyNumberFormat="0" applyFont="0" applyAlignment="0" applyProtection="0"/>
    <xf numFmtId="0" fontId="5" fillId="0" borderId="0" applyNumberFormat="0" applyFill="0" applyBorder="0" applyAlignment="0" applyProtection="0"/>
    <xf numFmtId="9" fontId="1" fillId="0" borderId="0" applyFont="0" applyFill="0" applyBorder="0" applyAlignment="0" applyProtection="0"/>
  </cellStyleXfs>
  <cellXfs count="188">
    <xf numFmtId="0" fontId="0" fillId="0" borderId="0" xfId="0"/>
    <xf numFmtId="0" fontId="0" fillId="0" borderId="0" xfId="0" applyProtection="1">
      <protection hidden="1"/>
    </xf>
    <xf numFmtId="0" fontId="0" fillId="0" borderId="0" xfId="0" applyAlignment="1" applyProtection="1">
      <alignment horizontal="center"/>
      <protection hidden="1"/>
    </xf>
    <xf numFmtId="2" fontId="0" fillId="0" borderId="0" xfId="0" applyNumberFormat="1" applyProtection="1">
      <protection hidden="1"/>
    </xf>
    <xf numFmtId="0" fontId="0" fillId="0" borderId="2" xfId="0" applyBorder="1" applyProtection="1">
      <protection hidden="1"/>
    </xf>
    <xf numFmtId="0" fontId="0" fillId="0" borderId="3" xfId="0" applyBorder="1" applyProtection="1">
      <protection hidden="1"/>
    </xf>
    <xf numFmtId="0" fontId="0" fillId="0" borderId="4" xfId="0" applyBorder="1" applyProtection="1">
      <protection hidden="1"/>
    </xf>
    <xf numFmtId="0" fontId="0" fillId="0" borderId="5" xfId="0" applyBorder="1" applyProtection="1">
      <protection hidden="1"/>
    </xf>
    <xf numFmtId="0" fontId="3" fillId="0" borderId="0" xfId="0" applyFont="1" applyAlignment="1" applyProtection="1">
      <alignment horizontal="right" vertical="center"/>
      <protection hidden="1"/>
    </xf>
    <xf numFmtId="0" fontId="0" fillId="0" borderId="6" xfId="0" applyBorder="1" applyProtection="1">
      <protection hidden="1"/>
    </xf>
    <xf numFmtId="0" fontId="0" fillId="0" borderId="0" xfId="0" applyAlignment="1" applyProtection="1">
      <alignment horizontal="right" vertical="center"/>
      <protection hidden="1"/>
    </xf>
    <xf numFmtId="0" fontId="0" fillId="0" borderId="7" xfId="0" applyBorder="1" applyProtection="1">
      <protection hidden="1"/>
    </xf>
    <xf numFmtId="0" fontId="0" fillId="0" borderId="7" xfId="0" applyBorder="1" applyAlignment="1" applyProtection="1">
      <alignment horizontal="right" vertical="center"/>
      <protection hidden="1"/>
    </xf>
    <xf numFmtId="0" fontId="4" fillId="0" borderId="0" xfId="0" applyFont="1" applyAlignment="1" applyProtection="1">
      <alignment vertical="center" wrapText="1"/>
      <protection hidden="1"/>
    </xf>
    <xf numFmtId="0" fontId="4" fillId="0" borderId="0" xfId="0" applyFont="1" applyAlignment="1" applyProtection="1">
      <alignment vertical="center"/>
      <protection hidden="1"/>
    </xf>
    <xf numFmtId="0" fontId="0" fillId="0" borderId="0" xfId="0" applyAlignment="1" applyProtection="1">
      <alignment horizontal="right"/>
      <protection hidden="1"/>
    </xf>
    <xf numFmtId="0" fontId="0" fillId="0" borderId="0" xfId="0" applyAlignment="1" applyProtection="1">
      <alignment vertical="center"/>
      <protection hidden="1"/>
    </xf>
    <xf numFmtId="0" fontId="4" fillId="0" borderId="0" xfId="0" applyFont="1" applyProtection="1">
      <protection hidden="1"/>
    </xf>
    <xf numFmtId="0" fontId="2" fillId="0" borderId="0" xfId="0" applyFont="1" applyAlignment="1" applyProtection="1">
      <alignment horizontal="right" vertical="center"/>
      <protection hidden="1"/>
    </xf>
    <xf numFmtId="0" fontId="2" fillId="0" borderId="0" xfId="0" applyFont="1" applyProtection="1">
      <protection hidden="1"/>
    </xf>
    <xf numFmtId="0" fontId="4" fillId="0" borderId="6" xfId="0" applyFont="1" applyBorder="1" applyProtection="1">
      <protection hidden="1"/>
    </xf>
    <xf numFmtId="0" fontId="4" fillId="0" borderId="6" xfId="0" applyFont="1" applyBorder="1" applyAlignment="1" applyProtection="1">
      <alignment vertical="center"/>
      <protection hidden="1"/>
    </xf>
    <xf numFmtId="0" fontId="0" fillId="0" borderId="0" xfId="0" applyAlignment="1" applyProtection="1">
      <alignment horizontal="left" vertical="center"/>
      <protection hidden="1"/>
    </xf>
    <xf numFmtId="0" fontId="2" fillId="0" borderId="0" xfId="0" applyFont="1" applyAlignment="1" applyProtection="1">
      <alignment horizontal="right"/>
      <protection hidden="1"/>
    </xf>
    <xf numFmtId="0" fontId="0" fillId="0" borderId="9" xfId="0" applyBorder="1" applyProtection="1">
      <protection hidden="1"/>
    </xf>
    <xf numFmtId="0" fontId="0" fillId="0" borderId="6" xfId="0" applyBorder="1" applyAlignment="1" applyProtection="1">
      <alignment vertical="center"/>
      <protection hidden="1"/>
    </xf>
    <xf numFmtId="0" fontId="5" fillId="0" borderId="0" xfId="2" quotePrefix="1" applyBorder="1" applyProtection="1">
      <protection hidden="1"/>
    </xf>
    <xf numFmtId="0" fontId="0" fillId="0" borderId="13" xfId="0" applyBorder="1" applyProtection="1">
      <protection hidden="1"/>
    </xf>
    <xf numFmtId="0" fontId="6" fillId="0" borderId="9" xfId="0" applyFont="1" applyBorder="1" applyProtection="1">
      <protection hidden="1"/>
    </xf>
    <xf numFmtId="0" fontId="0" fillId="0" borderId="14" xfId="0" applyBorder="1" applyProtection="1">
      <protection hidden="1"/>
    </xf>
    <xf numFmtId="0" fontId="0" fillId="0" borderId="0" xfId="0" applyAlignment="1" applyProtection="1">
      <alignment vertical="top"/>
      <protection hidden="1"/>
    </xf>
    <xf numFmtId="0" fontId="0" fillId="0" borderId="0" xfId="0" applyAlignment="1" applyProtection="1">
      <alignment vertical="top" wrapText="1"/>
      <protection hidden="1"/>
    </xf>
    <xf numFmtId="0" fontId="4" fillId="0" borderId="8" xfId="0" applyFont="1" applyBorder="1" applyAlignment="1" applyProtection="1">
      <alignment vertical="center" wrapText="1"/>
      <protection hidden="1"/>
    </xf>
    <xf numFmtId="0" fontId="3" fillId="0" borderId="0" xfId="0" applyFont="1" applyAlignment="1" applyProtection="1">
      <alignment vertical="center"/>
      <protection hidden="1"/>
    </xf>
    <xf numFmtId="14" fontId="0" fillId="0" borderId="0" xfId="0" applyNumberFormat="1" applyAlignment="1" applyProtection="1">
      <alignment vertical="center"/>
      <protection hidden="1"/>
    </xf>
    <xf numFmtId="0" fontId="8" fillId="0" borderId="0" xfId="0" applyFont="1" applyAlignment="1" applyProtection="1">
      <alignment vertical="top"/>
      <protection hidden="1"/>
    </xf>
    <xf numFmtId="0" fontId="4" fillId="0" borderId="0" xfId="0" applyFont="1" applyAlignment="1" applyProtection="1">
      <alignment vertical="top"/>
      <protection hidden="1"/>
    </xf>
    <xf numFmtId="0" fontId="11" fillId="0" borderId="0" xfId="0" applyFont="1" applyProtection="1">
      <protection hidden="1"/>
    </xf>
    <xf numFmtId="0" fontId="3" fillId="0" borderId="0" xfId="0" applyFont="1" applyAlignment="1" applyProtection="1">
      <alignment vertical="top"/>
      <protection hidden="1"/>
    </xf>
    <xf numFmtId="0" fontId="2" fillId="0" borderId="6" xfId="0" applyFont="1" applyBorder="1" applyProtection="1">
      <protection hidden="1"/>
    </xf>
    <xf numFmtId="0" fontId="7" fillId="0" borderId="0" xfId="0" applyFont="1" applyAlignment="1" applyProtection="1">
      <alignment vertical="top" wrapText="1"/>
      <protection hidden="1"/>
    </xf>
    <xf numFmtId="0" fontId="15" fillId="0" borderId="0" xfId="0" applyFont="1"/>
    <xf numFmtId="0" fontId="16" fillId="0" borderId="0" xfId="0" applyFont="1" applyProtection="1">
      <protection hidden="1"/>
    </xf>
    <xf numFmtId="0" fontId="16" fillId="0" borderId="0" xfId="0" applyFont="1"/>
    <xf numFmtId="0" fontId="8" fillId="0" borderId="0" xfId="0" applyFont="1" applyAlignment="1" applyProtection="1">
      <alignment vertical="top" wrapText="1"/>
      <protection hidden="1"/>
    </xf>
    <xf numFmtId="0" fontId="11" fillId="0" borderId="0" xfId="0" applyFont="1" applyAlignment="1" applyProtection="1">
      <alignment vertical="top" wrapText="1"/>
      <protection hidden="1"/>
    </xf>
    <xf numFmtId="0" fontId="0" fillId="0" borderId="18" xfId="0" applyBorder="1" applyProtection="1">
      <protection hidden="1"/>
    </xf>
    <xf numFmtId="0" fontId="20" fillId="0" borderId="0" xfId="0" applyFont="1" applyProtection="1">
      <protection hidden="1"/>
    </xf>
    <xf numFmtId="0" fontId="21" fillId="0" borderId="0" xfId="0" applyFont="1" applyProtection="1">
      <protection hidden="1"/>
    </xf>
    <xf numFmtId="0" fontId="21" fillId="0" borderId="9" xfId="0" applyFont="1" applyBorder="1" applyAlignment="1" applyProtection="1">
      <alignment horizontal="left"/>
      <protection hidden="1"/>
    </xf>
    <xf numFmtId="0" fontId="21" fillId="0" borderId="9" xfId="0" applyFont="1" applyBorder="1" applyProtection="1">
      <protection hidden="1"/>
    </xf>
    <xf numFmtId="2" fontId="0" fillId="3" borderId="0" xfId="0" applyNumberFormat="1" applyFill="1" applyProtection="1">
      <protection hidden="1"/>
    </xf>
    <xf numFmtId="0" fontId="0" fillId="3" borderId="0" xfId="0" applyFill="1" applyProtection="1">
      <protection hidden="1"/>
    </xf>
    <xf numFmtId="2" fontId="0" fillId="0" borderId="0" xfId="0" applyNumberFormat="1" applyAlignment="1" applyProtection="1">
      <alignment horizontal="right"/>
      <protection hidden="1"/>
    </xf>
    <xf numFmtId="2" fontId="0" fillId="0" borderId="0" xfId="0" applyNumberFormat="1" applyAlignment="1" applyProtection="1">
      <alignment horizontal="right" indent="1"/>
      <protection hidden="1"/>
    </xf>
    <xf numFmtId="0" fontId="0" fillId="5" borderId="0" xfId="0" applyFill="1" applyProtection="1">
      <protection hidden="1"/>
    </xf>
    <xf numFmtId="2" fontId="0" fillId="5" borderId="0" xfId="0" applyNumberFormat="1" applyFill="1" applyProtection="1">
      <protection hidden="1"/>
    </xf>
    <xf numFmtId="0" fontId="0" fillId="0" borderId="0" xfId="0" applyAlignment="1" applyProtection="1">
      <alignment horizontal="right" indent="2"/>
      <protection hidden="1"/>
    </xf>
    <xf numFmtId="0" fontId="0" fillId="0" borderId="0" xfId="0" applyAlignment="1" applyProtection="1">
      <alignment horizontal="right" vertical="top"/>
      <protection hidden="1"/>
    </xf>
    <xf numFmtId="0" fontId="0" fillId="0" borderId="0" xfId="0" applyAlignment="1" applyProtection="1">
      <alignment horizontal="left"/>
      <protection hidden="1"/>
    </xf>
    <xf numFmtId="0" fontId="23" fillId="0" borderId="0" xfId="0" applyFont="1" applyProtection="1">
      <protection hidden="1"/>
    </xf>
    <xf numFmtId="0" fontId="29" fillId="0" borderId="0" xfId="0" applyFont="1" applyProtection="1">
      <protection hidden="1"/>
    </xf>
    <xf numFmtId="0" fontId="8" fillId="0" borderId="0" xfId="0" applyFont="1" applyAlignment="1" applyProtection="1">
      <alignment wrapText="1"/>
      <protection hidden="1"/>
    </xf>
    <xf numFmtId="14" fontId="0" fillId="0" borderId="0" xfId="0" applyNumberFormat="1" applyAlignment="1" applyProtection="1">
      <alignment horizontal="right" vertical="center"/>
      <protection hidden="1"/>
    </xf>
    <xf numFmtId="2" fontId="0" fillId="0" borderId="0" xfId="0" applyNumberFormat="1" applyAlignment="1" applyProtection="1">
      <alignment horizontal="center"/>
      <protection hidden="1"/>
    </xf>
    <xf numFmtId="0" fontId="0" fillId="0" borderId="0" xfId="0" applyAlignment="1" applyProtection="1">
      <alignment horizontal="center"/>
      <protection hidden="1"/>
    </xf>
    <xf numFmtId="166" fontId="0" fillId="0" borderId="0" xfId="0" applyNumberFormat="1" applyAlignment="1" applyProtection="1">
      <alignment horizontal="center"/>
      <protection hidden="1"/>
    </xf>
    <xf numFmtId="164" fontId="0" fillId="0" borderId="0" xfId="0" applyNumberFormat="1" applyAlignment="1" applyProtection="1">
      <alignment horizontal="center"/>
      <protection hidden="1"/>
    </xf>
    <xf numFmtId="0" fontId="0" fillId="0" borderId="0" xfId="0" applyAlignment="1" applyProtection="1">
      <alignment horizontal="left" vertical="top" wrapText="1"/>
      <protection hidden="1"/>
    </xf>
    <xf numFmtId="0" fontId="13"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42" fillId="6" borderId="48" xfId="0" applyFont="1" applyFill="1" applyBorder="1" applyAlignment="1" applyProtection="1">
      <alignment horizontal="center" vertical="center" wrapText="1"/>
      <protection hidden="1"/>
    </xf>
    <xf numFmtId="0" fontId="42" fillId="6" borderId="22" xfId="0" applyFont="1" applyFill="1" applyBorder="1" applyAlignment="1" applyProtection="1">
      <alignment horizontal="center" vertical="center" wrapText="1"/>
      <protection hidden="1"/>
    </xf>
    <xf numFmtId="0" fontId="42" fillId="6" borderId="45" xfId="0" applyFont="1" applyFill="1" applyBorder="1" applyAlignment="1" applyProtection="1">
      <alignment horizontal="center" vertical="center" wrapText="1"/>
      <protection hidden="1"/>
    </xf>
    <xf numFmtId="0" fontId="42" fillId="6" borderId="0" xfId="0" applyFont="1" applyFill="1" applyAlignment="1" applyProtection="1">
      <alignment horizontal="center" vertical="center" wrapText="1"/>
      <protection hidden="1"/>
    </xf>
    <xf numFmtId="0" fontId="42" fillId="6" borderId="49" xfId="0" applyFont="1" applyFill="1" applyBorder="1" applyAlignment="1" applyProtection="1">
      <alignment horizontal="center" vertical="center" wrapText="1"/>
      <protection hidden="1"/>
    </xf>
    <xf numFmtId="0" fontId="42" fillId="6" borderId="50" xfId="0" applyFont="1" applyFill="1" applyBorder="1" applyAlignment="1" applyProtection="1">
      <alignment horizontal="center" vertical="center" wrapText="1"/>
      <protection hidden="1"/>
    </xf>
    <xf numFmtId="0" fontId="0" fillId="0" borderId="25" xfId="0" applyBorder="1" applyAlignment="1" applyProtection="1">
      <alignment horizontal="center" vertical="center" wrapText="1"/>
      <protection hidden="1"/>
    </xf>
    <xf numFmtId="0" fontId="0" fillId="0" borderId="25"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51" xfId="0" applyBorder="1" applyAlignment="1" applyProtection="1">
      <alignment horizontal="center" vertical="center"/>
      <protection hidden="1"/>
    </xf>
    <xf numFmtId="165" fontId="0" fillId="0" borderId="0" xfId="3" applyNumberFormat="1" applyFont="1" applyAlignment="1" applyProtection="1">
      <alignment horizontal="center"/>
      <protection hidden="1"/>
    </xf>
    <xf numFmtId="0" fontId="11" fillId="0" borderId="0" xfId="0" applyFont="1" applyAlignment="1" applyProtection="1">
      <alignment horizontal="left" vertical="top" wrapText="1"/>
      <protection hidden="1"/>
    </xf>
    <xf numFmtId="2" fontId="2" fillId="0" borderId="20" xfId="0" applyNumberFormat="1" applyFont="1" applyBorder="1" applyAlignment="1" applyProtection="1">
      <alignment horizontal="center"/>
      <protection hidden="1"/>
    </xf>
    <xf numFmtId="0" fontId="11" fillId="0" borderId="9" xfId="0" applyFont="1" applyBorder="1" applyAlignment="1" applyProtection="1">
      <alignment horizontal="left" vertical="top" wrapText="1"/>
      <protection hidden="1"/>
    </xf>
    <xf numFmtId="0" fontId="0" fillId="3" borderId="1" xfId="1" applyFont="1" applyFill="1" applyAlignment="1" applyProtection="1">
      <alignment horizontal="right"/>
      <protection locked="0"/>
    </xf>
    <xf numFmtId="0" fontId="11" fillId="0" borderId="0" xfId="0" applyFont="1" applyAlignment="1" applyProtection="1">
      <alignment horizontal="center" vertical="top" wrapText="1"/>
      <protection hidden="1"/>
    </xf>
    <xf numFmtId="0" fontId="0" fillId="3" borderId="1" xfId="1" applyFont="1" applyFill="1" applyAlignment="1" applyProtection="1">
      <alignment horizontal="left" vertical="center"/>
      <protection locked="0"/>
    </xf>
    <xf numFmtId="0" fontId="0" fillId="3" borderId="1" xfId="1" applyFont="1" applyFill="1" applyAlignment="1" applyProtection="1">
      <alignment horizontal="left" vertical="center" indent="1"/>
      <protection locked="0"/>
    </xf>
    <xf numFmtId="2" fontId="0" fillId="0" borderId="23" xfId="0" applyNumberFormat="1" applyBorder="1" applyAlignment="1" applyProtection="1">
      <alignment horizontal="center" vertical="center" wrapText="1"/>
      <protection hidden="1"/>
    </xf>
    <xf numFmtId="2" fontId="0" fillId="0" borderId="24" xfId="0" applyNumberFormat="1" applyBorder="1" applyAlignment="1" applyProtection="1">
      <alignment horizontal="center" vertical="center" wrapText="1"/>
      <protection hidden="1"/>
    </xf>
    <xf numFmtId="2" fontId="0" fillId="0" borderId="25" xfId="0" applyNumberFormat="1" applyBorder="1" applyAlignment="1" applyProtection="1">
      <alignment horizontal="center" vertical="center" wrapText="1"/>
      <protection hidden="1"/>
    </xf>
    <xf numFmtId="2" fontId="0" fillId="0" borderId="51" xfId="0" applyNumberFormat="1" applyBorder="1" applyAlignment="1" applyProtection="1">
      <alignment horizontal="center" vertical="center" wrapText="1"/>
      <protection hidden="1"/>
    </xf>
    <xf numFmtId="0" fontId="0" fillId="0" borderId="23" xfId="0" quotePrefix="1"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37" xfId="0" applyBorder="1" applyAlignment="1" applyProtection="1">
      <alignment horizontal="center" vertical="center"/>
      <protection hidden="1"/>
    </xf>
    <xf numFmtId="0" fontId="0" fillId="0" borderId="52"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0" fillId="0" borderId="46"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11" fillId="0" borderId="0" xfId="0" applyFont="1" applyAlignment="1" applyProtection="1">
      <alignment horizontal="center" wrapText="1"/>
      <protection hidden="1"/>
    </xf>
    <xf numFmtId="0" fontId="0" fillId="4" borderId="1" xfId="1" applyFont="1" applyFill="1" applyAlignment="1" applyProtection="1">
      <alignment horizontal="center"/>
      <protection hidden="1"/>
    </xf>
    <xf numFmtId="0" fontId="0" fillId="3" borderId="15" xfId="1" applyFont="1" applyFill="1" applyBorder="1" applyAlignment="1" applyProtection="1">
      <alignment horizontal="center" vertical="center"/>
      <protection locked="0"/>
    </xf>
    <xf numFmtId="0" fontId="0" fillId="3" borderId="16" xfId="1" applyFont="1" applyFill="1" applyBorder="1" applyAlignment="1" applyProtection="1">
      <alignment horizontal="center" vertical="center"/>
      <protection locked="0"/>
    </xf>
    <xf numFmtId="0" fontId="0" fillId="3" borderId="17" xfId="1" applyFont="1" applyFill="1" applyBorder="1" applyAlignment="1" applyProtection="1">
      <alignment horizontal="center" vertical="center"/>
      <protection locked="0"/>
    </xf>
    <xf numFmtId="1" fontId="0" fillId="0" borderId="0" xfId="0" applyNumberFormat="1" applyAlignment="1" applyProtection="1">
      <alignment horizontal="center"/>
      <protection hidden="1"/>
    </xf>
    <xf numFmtId="0" fontId="0" fillId="3" borderId="15" xfId="1" applyFont="1" applyFill="1" applyBorder="1" applyAlignment="1" applyProtection="1">
      <alignment horizontal="left" vertical="center" indent="1"/>
      <protection locked="0"/>
    </xf>
    <xf numFmtId="0" fontId="0" fillId="3" borderId="16" xfId="1" applyFont="1" applyFill="1" applyBorder="1" applyAlignment="1" applyProtection="1">
      <alignment horizontal="left" vertical="center" indent="1"/>
      <protection locked="0"/>
    </xf>
    <xf numFmtId="0" fontId="0" fillId="3" borderId="17" xfId="1" applyFont="1" applyFill="1" applyBorder="1" applyAlignment="1" applyProtection="1">
      <alignment horizontal="left" vertical="center" indent="1"/>
      <protection locked="0"/>
    </xf>
    <xf numFmtId="0" fontId="4" fillId="0" borderId="0" xfId="0" applyFont="1" applyAlignment="1" applyProtection="1">
      <alignment horizontal="center" vertical="center" wrapText="1"/>
      <protection hidden="1"/>
    </xf>
    <xf numFmtId="0" fontId="0" fillId="3" borderId="1" xfId="1" applyFont="1" applyFill="1" applyAlignment="1" applyProtection="1">
      <alignment horizontal="center"/>
      <protection locked="0"/>
    </xf>
    <xf numFmtId="0" fontId="42" fillId="6" borderId="38" xfId="0" applyFont="1" applyFill="1" applyBorder="1" applyAlignment="1" applyProtection="1">
      <alignment horizontal="center" wrapText="1"/>
      <protection hidden="1"/>
    </xf>
    <xf numFmtId="0" fontId="42" fillId="6" borderId="39" xfId="0" applyFont="1" applyFill="1" applyBorder="1" applyAlignment="1" applyProtection="1">
      <alignment horizontal="center" wrapText="1"/>
      <protection hidden="1"/>
    </xf>
    <xf numFmtId="0" fontId="42" fillId="6" borderId="45" xfId="0" applyFont="1" applyFill="1" applyBorder="1" applyAlignment="1" applyProtection="1">
      <alignment horizontal="center" wrapText="1"/>
      <protection hidden="1"/>
    </xf>
    <xf numFmtId="0" fontId="42" fillId="6" borderId="0" xfId="0" applyFont="1" applyFill="1" applyAlignment="1" applyProtection="1">
      <alignment horizontal="center" wrapText="1"/>
      <protection hidden="1"/>
    </xf>
    <xf numFmtId="0" fontId="42" fillId="6" borderId="47" xfId="0" applyFont="1" applyFill="1" applyBorder="1" applyAlignment="1" applyProtection="1">
      <alignment horizontal="center" wrapText="1"/>
      <protection hidden="1"/>
    </xf>
    <xf numFmtId="0" fontId="42" fillId="6" borderId="21" xfId="0" applyFont="1" applyFill="1" applyBorder="1" applyAlignment="1" applyProtection="1">
      <alignment horizontal="center" wrapText="1"/>
      <protection hidden="1"/>
    </xf>
    <xf numFmtId="0" fontId="42" fillId="6" borderId="47" xfId="0" applyFont="1" applyFill="1" applyBorder="1" applyAlignment="1" applyProtection="1">
      <alignment horizontal="center" vertical="center" wrapText="1"/>
      <protection hidden="1"/>
    </xf>
    <xf numFmtId="0" fontId="42" fillId="6" borderId="21" xfId="0" applyFont="1" applyFill="1" applyBorder="1" applyAlignment="1" applyProtection="1">
      <alignment horizontal="center" vertical="center" wrapText="1"/>
      <protection hidden="1"/>
    </xf>
    <xf numFmtId="0" fontId="42" fillId="6" borderId="42" xfId="0" applyFont="1" applyFill="1" applyBorder="1" applyAlignment="1" applyProtection="1">
      <alignment horizontal="center" wrapText="1"/>
      <protection hidden="1"/>
    </xf>
    <xf numFmtId="0" fontId="42" fillId="6" borderId="43" xfId="0" applyFont="1" applyFill="1" applyBorder="1" applyAlignment="1" applyProtection="1">
      <alignment horizontal="center" wrapText="1"/>
      <protection hidden="1"/>
    </xf>
    <xf numFmtId="0" fontId="42" fillId="6" borderId="44" xfId="0" applyFont="1" applyFill="1" applyBorder="1" applyAlignment="1" applyProtection="1">
      <alignment horizontal="center" wrapText="1"/>
      <protection hidden="1"/>
    </xf>
    <xf numFmtId="0" fontId="42" fillId="6" borderId="34" xfId="0" applyFont="1" applyFill="1" applyBorder="1" applyAlignment="1" applyProtection="1">
      <alignment horizontal="center" wrapText="1"/>
      <protection hidden="1"/>
    </xf>
    <xf numFmtId="0" fontId="42" fillId="6" borderId="35" xfId="0" applyFont="1" applyFill="1" applyBorder="1" applyAlignment="1" applyProtection="1">
      <alignment horizontal="center" wrapText="1"/>
      <protection hidden="1"/>
    </xf>
    <xf numFmtId="0" fontId="42" fillId="6" borderId="46" xfId="0" applyFont="1" applyFill="1" applyBorder="1" applyAlignment="1" applyProtection="1">
      <alignment horizontal="center" wrapText="1"/>
      <protection hidden="1"/>
    </xf>
    <xf numFmtId="0" fontId="42" fillId="6" borderId="40" xfId="0" applyFont="1" applyFill="1" applyBorder="1" applyAlignment="1" applyProtection="1">
      <alignment horizontal="center" wrapText="1"/>
      <protection hidden="1"/>
    </xf>
    <xf numFmtId="0" fontId="42" fillId="6" borderId="23" xfId="0" applyFont="1" applyFill="1" applyBorder="1" applyAlignment="1" applyProtection="1">
      <alignment horizontal="center" wrapText="1"/>
      <protection hidden="1"/>
    </xf>
    <xf numFmtId="0" fontId="42" fillId="6" borderId="24" xfId="0" applyFont="1" applyFill="1" applyBorder="1" applyAlignment="1" applyProtection="1">
      <alignment horizontal="center" wrapText="1"/>
      <protection hidden="1"/>
    </xf>
    <xf numFmtId="2" fontId="0" fillId="0" borderId="0" xfId="0" applyNumberFormat="1" applyAlignment="1" applyProtection="1">
      <alignment horizontal="center" vertical="center"/>
      <protection hidden="1"/>
    </xf>
    <xf numFmtId="0" fontId="24" fillId="0" borderId="39" xfId="0" applyFont="1" applyBorder="1" applyAlignment="1" applyProtection="1">
      <alignment horizontal="left" vertical="top" wrapText="1"/>
      <protection hidden="1"/>
    </xf>
    <xf numFmtId="0" fontId="24" fillId="0" borderId="0" xfId="0" applyFont="1" applyAlignment="1" applyProtection="1">
      <alignment horizontal="left" vertical="top" wrapText="1"/>
      <protection hidden="1"/>
    </xf>
    <xf numFmtId="0" fontId="0" fillId="3" borderId="15" xfId="1" applyFont="1" applyFill="1" applyBorder="1" applyAlignment="1" applyProtection="1">
      <alignment horizontal="center"/>
      <protection locked="0"/>
    </xf>
    <xf numFmtId="0" fontId="0" fillId="3" borderId="16" xfId="1" applyFont="1" applyFill="1" applyBorder="1" applyAlignment="1" applyProtection="1">
      <alignment horizontal="center"/>
      <protection locked="0"/>
    </xf>
    <xf numFmtId="0" fontId="0" fillId="3" borderId="17" xfId="1" applyFont="1" applyFill="1" applyBorder="1" applyAlignment="1" applyProtection="1">
      <alignment horizontal="center"/>
      <protection locked="0"/>
    </xf>
    <xf numFmtId="0" fontId="4" fillId="0" borderId="0" xfId="0" applyFont="1" applyAlignment="1" applyProtection="1">
      <alignment horizontal="center"/>
      <protection hidden="1"/>
    </xf>
    <xf numFmtId="0" fontId="0" fillId="3" borderId="1" xfId="1" applyFont="1" applyFill="1" applyAlignment="1" applyProtection="1">
      <alignment horizontal="left"/>
      <protection locked="0"/>
    </xf>
    <xf numFmtId="0" fontId="0" fillId="3" borderId="10" xfId="1" applyFont="1" applyFill="1" applyBorder="1" applyAlignment="1" applyProtection="1">
      <alignment horizontal="center"/>
      <protection locked="0"/>
    </xf>
    <xf numFmtId="0" fontId="0" fillId="3" borderId="11" xfId="1" applyFont="1" applyFill="1" applyBorder="1" applyAlignment="1" applyProtection="1">
      <alignment horizontal="center"/>
      <protection locked="0"/>
    </xf>
    <xf numFmtId="0" fontId="0" fillId="3" borderId="12" xfId="1" applyFont="1" applyFill="1" applyBorder="1" applyAlignment="1" applyProtection="1">
      <alignment horizontal="center"/>
      <protection locked="0"/>
    </xf>
    <xf numFmtId="0" fontId="13" fillId="0" borderId="9" xfId="0" applyFont="1" applyBorder="1" applyAlignment="1" applyProtection="1">
      <alignment horizontal="center"/>
      <protection hidden="1"/>
    </xf>
    <xf numFmtId="0" fontId="0" fillId="3" borderId="19" xfId="1" applyFont="1" applyFill="1" applyBorder="1" applyAlignment="1" applyProtection="1">
      <alignment horizontal="left"/>
      <protection locked="0"/>
    </xf>
    <xf numFmtId="0" fontId="42" fillId="6" borderId="41" xfId="0" applyFont="1" applyFill="1" applyBorder="1" applyAlignment="1" applyProtection="1">
      <alignment horizontal="center" wrapText="1"/>
      <protection hidden="1"/>
    </xf>
    <xf numFmtId="0" fontId="42" fillId="6" borderId="26" xfId="0" applyFont="1" applyFill="1" applyBorder="1" applyAlignment="1" applyProtection="1">
      <alignment horizontal="center" wrapText="1"/>
      <protection hidden="1"/>
    </xf>
    <xf numFmtId="0" fontId="42" fillId="6" borderId="36" xfId="0" applyFont="1" applyFill="1" applyBorder="1" applyAlignment="1" applyProtection="1">
      <alignment horizontal="center" wrapText="1"/>
      <protection hidden="1"/>
    </xf>
    <xf numFmtId="0" fontId="0" fillId="0" borderId="29" xfId="0" applyBorder="1" applyAlignment="1" applyProtection="1">
      <alignment horizontal="center" vertical="center"/>
      <protection hidden="1"/>
    </xf>
    <xf numFmtId="0" fontId="42" fillId="6" borderId="29" xfId="0" applyFont="1" applyFill="1" applyBorder="1" applyAlignment="1" applyProtection="1">
      <alignment horizontal="center" vertical="center" wrapText="1"/>
      <protection hidden="1"/>
    </xf>
    <xf numFmtId="0" fontId="42" fillId="6" borderId="34" xfId="0" applyFont="1" applyFill="1" applyBorder="1" applyAlignment="1" applyProtection="1">
      <alignment horizontal="center" vertical="center" wrapText="1"/>
      <protection hidden="1"/>
    </xf>
    <xf numFmtId="2" fontId="0" fillId="0" borderId="56" xfId="0" applyNumberFormat="1" applyBorder="1" applyAlignment="1" applyProtection="1">
      <alignment horizontal="center" vertical="center" wrapText="1"/>
      <protection hidden="1"/>
    </xf>
    <xf numFmtId="2" fontId="0" fillId="0" borderId="0" xfId="0" applyNumberFormat="1" applyAlignment="1" applyProtection="1">
      <alignment horizontal="center" vertical="center" wrapText="1"/>
      <protection hidden="1"/>
    </xf>
    <xf numFmtId="2" fontId="0" fillId="0" borderId="57" xfId="0" applyNumberFormat="1" applyBorder="1" applyAlignment="1" applyProtection="1">
      <alignment horizontal="center" vertical="center" wrapText="1"/>
      <protection hidden="1"/>
    </xf>
    <xf numFmtId="0" fontId="24" fillId="0" borderId="54" xfId="0" applyFont="1" applyBorder="1" applyAlignment="1" applyProtection="1">
      <alignment horizontal="center"/>
      <protection hidden="1"/>
    </xf>
    <xf numFmtId="0" fontId="0" fillId="0" borderId="22" xfId="0" applyBorder="1" applyAlignment="1" applyProtection="1">
      <alignment horizontal="center"/>
      <protection hidden="1"/>
    </xf>
    <xf numFmtId="0" fontId="0" fillId="0" borderId="55" xfId="0" applyBorder="1" applyAlignment="1" applyProtection="1">
      <alignment horizontal="center"/>
      <protection hidden="1"/>
    </xf>
    <xf numFmtId="0" fontId="24" fillId="0" borderId="58" xfId="0" applyFont="1" applyBorder="1" applyAlignment="1" applyProtection="1">
      <alignment horizontal="center"/>
      <protection hidden="1"/>
    </xf>
    <xf numFmtId="0" fontId="0" fillId="0" borderId="59" xfId="0" applyBorder="1" applyAlignment="1" applyProtection="1">
      <alignment horizontal="center"/>
      <protection hidden="1"/>
    </xf>
    <xf numFmtId="0" fontId="0" fillId="0" borderId="60" xfId="0" applyBorder="1" applyAlignment="1" applyProtection="1">
      <alignment horizontal="center"/>
      <protection hidden="1"/>
    </xf>
    <xf numFmtId="0" fontId="42" fillId="6" borderId="29" xfId="0" applyFont="1" applyFill="1" applyBorder="1" applyAlignment="1" applyProtection="1">
      <alignment horizontal="center" wrapText="1"/>
      <protection hidden="1"/>
    </xf>
    <xf numFmtId="0" fontId="42" fillId="6" borderId="30" xfId="0" applyFont="1" applyFill="1" applyBorder="1" applyAlignment="1" applyProtection="1">
      <alignment horizontal="center" wrapText="1"/>
      <protection hidden="1"/>
    </xf>
    <xf numFmtId="0" fontId="0" fillId="0" borderId="31" xfId="0" applyBorder="1" applyAlignment="1" applyProtection="1">
      <alignment horizontal="center"/>
      <protection hidden="1"/>
    </xf>
    <xf numFmtId="2" fontId="0" fillId="0" borderId="28" xfId="0" applyNumberFormat="1" applyBorder="1" applyAlignment="1" applyProtection="1">
      <alignment horizontal="center" vertical="center" wrapText="1"/>
      <protection hidden="1"/>
    </xf>
    <xf numFmtId="2" fontId="0" fillId="0" borderId="29" xfId="0" applyNumberFormat="1" applyBorder="1" applyAlignment="1" applyProtection="1">
      <alignment horizontal="center" vertical="center" wrapText="1"/>
      <protection hidden="1"/>
    </xf>
    <xf numFmtId="2" fontId="0" fillId="0" borderId="61" xfId="0" applyNumberFormat="1" applyBorder="1" applyAlignment="1" applyProtection="1">
      <alignment horizontal="center" vertical="center" wrapText="1"/>
      <protection hidden="1"/>
    </xf>
    <xf numFmtId="2" fontId="0" fillId="0" borderId="62" xfId="0" applyNumberFormat="1" applyBorder="1" applyAlignment="1" applyProtection="1">
      <alignment horizontal="center" vertical="center" wrapText="1"/>
      <protection hidden="1"/>
    </xf>
    <xf numFmtId="2" fontId="0" fillId="0" borderId="26" xfId="0" applyNumberFormat="1" applyBorder="1" applyAlignment="1" applyProtection="1">
      <alignment horizontal="center" vertical="center" wrapText="1"/>
      <protection hidden="1"/>
    </xf>
    <xf numFmtId="2" fontId="0" fillId="0" borderId="27" xfId="0" applyNumberFormat="1" applyBorder="1" applyAlignment="1" applyProtection="1">
      <alignment horizontal="center" vertical="center" wrapText="1"/>
      <protection hidden="1"/>
    </xf>
    <xf numFmtId="2" fontId="0" fillId="0" borderId="66" xfId="0" applyNumberFormat="1" applyBorder="1" applyAlignment="1" applyProtection="1">
      <alignment horizontal="center" vertical="center" wrapText="1"/>
      <protection hidden="1"/>
    </xf>
    <xf numFmtId="2" fontId="0" fillId="0" borderId="67" xfId="0" applyNumberFormat="1" applyBorder="1" applyAlignment="1" applyProtection="1">
      <alignment horizontal="center" vertical="center" wrapText="1"/>
      <protection hidden="1"/>
    </xf>
    <xf numFmtId="2" fontId="0" fillId="0" borderId="68" xfId="0" applyNumberFormat="1" applyBorder="1" applyAlignment="1" applyProtection="1">
      <alignment horizontal="center" vertical="center" wrapText="1"/>
      <protection hidden="1"/>
    </xf>
    <xf numFmtId="0" fontId="24" fillId="0" borderId="63" xfId="0" applyFont="1" applyBorder="1" applyAlignment="1" applyProtection="1">
      <alignment horizontal="center"/>
      <protection hidden="1"/>
    </xf>
    <xf numFmtId="0" fontId="0" fillId="0" borderId="64" xfId="0" applyBorder="1" applyAlignment="1" applyProtection="1">
      <alignment horizontal="center"/>
      <protection hidden="1"/>
    </xf>
    <xf numFmtId="0" fontId="0" fillId="0" borderId="65" xfId="0" applyBorder="1" applyAlignment="1" applyProtection="1">
      <alignment horizontal="center"/>
      <protection hidden="1"/>
    </xf>
    <xf numFmtId="165" fontId="0" fillId="0" borderId="23" xfId="0" applyNumberForma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164" fontId="1" fillId="3" borderId="10" xfId="1" applyNumberFormat="1" applyFont="1" applyFill="1" applyBorder="1" applyAlignment="1" applyProtection="1">
      <alignment horizontal="center" vertical="center"/>
      <protection hidden="1"/>
    </xf>
    <xf numFmtId="164" fontId="1" fillId="3" borderId="11" xfId="1" applyNumberFormat="1" applyFont="1" applyFill="1" applyBorder="1" applyAlignment="1" applyProtection="1">
      <alignment horizontal="center" vertical="center"/>
      <protection hidden="1"/>
    </xf>
    <xf numFmtId="164" fontId="1" fillId="3" borderId="12" xfId="1" applyNumberFormat="1" applyFont="1" applyFill="1" applyBorder="1" applyAlignment="1" applyProtection="1">
      <alignment horizontal="center" vertical="center"/>
      <protection hidden="1"/>
    </xf>
    <xf numFmtId="2" fontId="2" fillId="0" borderId="0" xfId="0" applyNumberFormat="1" applyFont="1" applyAlignment="1" applyProtection="1">
      <alignment horizontal="right" wrapText="1"/>
      <protection hidden="1"/>
    </xf>
    <xf numFmtId="1" fontId="0" fillId="0" borderId="0" xfId="0" applyNumberFormat="1" applyAlignment="1" applyProtection="1">
      <alignment horizontal="center" vertical="center"/>
      <protection hidden="1"/>
    </xf>
    <xf numFmtId="0" fontId="7" fillId="0" borderId="0" xfId="0" applyFont="1" applyAlignment="1" applyProtection="1">
      <alignment horizontal="center" vertical="top" wrapText="1"/>
      <protection hidden="1"/>
    </xf>
    <xf numFmtId="2" fontId="0" fillId="0" borderId="9" xfId="0" applyNumberFormat="1" applyBorder="1" applyAlignment="1" applyProtection="1">
      <alignment horizontal="center"/>
      <protection hidden="1"/>
    </xf>
    <xf numFmtId="2" fontId="0" fillId="0" borderId="3" xfId="0" applyNumberFormat="1" applyBorder="1" applyAlignment="1" applyProtection="1">
      <alignment horizontal="center"/>
      <protection hidden="1"/>
    </xf>
    <xf numFmtId="0" fontId="2" fillId="0" borderId="0" xfId="0" applyFont="1" applyAlignment="1" applyProtection="1">
      <alignment horizontal="center" vertical="center" wrapText="1"/>
      <protection hidden="1"/>
    </xf>
    <xf numFmtId="0" fontId="2" fillId="0" borderId="9" xfId="0" applyFont="1" applyBorder="1" applyAlignment="1" applyProtection="1">
      <alignment horizontal="center" vertical="center" wrapText="1"/>
      <protection hidden="1"/>
    </xf>
  </cellXfs>
  <cellStyles count="4">
    <cellStyle name="Hyperlink" xfId="2" builtinId="8"/>
    <cellStyle name="Normal" xfId="0" builtinId="0"/>
    <cellStyle name="Note" xfId="1" builtinId="10"/>
    <cellStyle name="Percent" xfId="3" builtinId="5"/>
  </cellStyles>
  <dxfs count="0"/>
  <tableStyles count="0" defaultTableStyle="TableStyleMedium2" defaultPivotStyle="PivotStyleLight16"/>
  <colors>
    <mruColors>
      <color rgb="FFB8E7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4.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24.png"/><Relationship Id="rId3" Type="http://schemas.openxmlformats.org/officeDocument/2006/relationships/image" Target="../media/image14.png"/><Relationship Id="rId7" Type="http://schemas.openxmlformats.org/officeDocument/2006/relationships/image" Target="../media/image18.png"/><Relationship Id="rId12" Type="http://schemas.openxmlformats.org/officeDocument/2006/relationships/image" Target="../media/image23.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11" Type="http://schemas.openxmlformats.org/officeDocument/2006/relationships/image" Target="../media/image22.png"/><Relationship Id="rId5" Type="http://schemas.openxmlformats.org/officeDocument/2006/relationships/image" Target="../media/image16.png"/><Relationship Id="rId10" Type="http://schemas.openxmlformats.org/officeDocument/2006/relationships/image" Target="../media/image21.png"/><Relationship Id="rId4" Type="http://schemas.openxmlformats.org/officeDocument/2006/relationships/image" Target="../media/image15.png"/><Relationship Id="rId9" Type="http://schemas.openxmlformats.org/officeDocument/2006/relationships/image" Target="../media/image20.png"/></Relationships>
</file>

<file path=xl/drawings/_rels/drawing5.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 Id="rId5" Type="http://schemas.openxmlformats.org/officeDocument/2006/relationships/image" Target="../media/image29.png"/><Relationship Id="rId4" Type="http://schemas.openxmlformats.org/officeDocument/2006/relationships/image" Target="../media/image28.png"/></Relationships>
</file>

<file path=xl/drawings/_rels/drawing6.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30.png"/></Relationships>
</file>

<file path=xl/drawings/_rels/drawing7.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image" Target="../media/image32.png"/><Relationship Id="rId5" Type="http://schemas.openxmlformats.org/officeDocument/2006/relationships/image" Target="../media/image36.png"/><Relationship Id="rId4" Type="http://schemas.openxmlformats.org/officeDocument/2006/relationships/image" Target="../media/image35.png"/></Relationships>
</file>

<file path=xl/drawings/_rels/drawing8.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37.png"/><Relationship Id="rId5" Type="http://schemas.openxmlformats.org/officeDocument/2006/relationships/image" Target="../media/image41.png"/><Relationship Id="rId4" Type="http://schemas.openxmlformats.org/officeDocument/2006/relationships/image" Target="../media/image40.png"/></Relationships>
</file>

<file path=xl/drawings/_rels/drawing9.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image" Target="../media/image42.png"/><Relationship Id="rId4" Type="http://schemas.openxmlformats.org/officeDocument/2006/relationships/image" Target="../media/image45.png"/></Relationships>
</file>

<file path=xl/drawings/drawing1.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3" name="Picture 2">
          <a:extLst>
            <a:ext uri="{FF2B5EF4-FFF2-40B4-BE49-F238E27FC236}">
              <a16:creationId xmlns:a16="http://schemas.microsoft.com/office/drawing/2014/main" id="{A18AA110-2A46-49A0-B353-163FE3EE21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514350"/>
          <a:ext cx="2047875" cy="1009650"/>
        </a:xfrm>
        <a:prstGeom prst="rect">
          <a:avLst/>
        </a:prstGeom>
      </xdr:spPr>
    </xdr:pic>
    <xdr:clientData/>
  </xdr:twoCellAnchor>
  <xdr:oneCellAnchor>
    <xdr:from>
      <xdr:col>74</xdr:col>
      <xdr:colOff>19049</xdr:colOff>
      <xdr:row>1</xdr:row>
      <xdr:rowOff>73956</xdr:rowOff>
    </xdr:from>
    <xdr:ext cx="1638301" cy="819151"/>
    <xdr:pic>
      <xdr:nvPicPr>
        <xdr:cNvPr id="4" name="Picture 3">
          <a:extLst>
            <a:ext uri="{FF2B5EF4-FFF2-40B4-BE49-F238E27FC236}">
              <a16:creationId xmlns:a16="http://schemas.microsoft.com/office/drawing/2014/main" id="{A185239F-115D-4FC8-9D92-DACD37ED2B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twoCellAnchor>
    <xdr:from>
      <xdr:col>2</xdr:col>
      <xdr:colOff>0</xdr:colOff>
      <xdr:row>10</xdr:row>
      <xdr:rowOff>107674</xdr:rowOff>
    </xdr:from>
    <xdr:to>
      <xdr:col>41</xdr:col>
      <xdr:colOff>24848</xdr:colOff>
      <xdr:row>46</xdr:row>
      <xdr:rowOff>132522</xdr:rowOff>
    </xdr:to>
    <xdr:sp macro="" textlink="">
      <xdr:nvSpPr>
        <xdr:cNvPr id="2" name="TextBox 1">
          <a:extLst>
            <a:ext uri="{FF2B5EF4-FFF2-40B4-BE49-F238E27FC236}">
              <a16:creationId xmlns:a16="http://schemas.microsoft.com/office/drawing/2014/main" id="{B5AC5136-A3C7-53FC-73A3-C46A8FEC25F6}"/>
            </a:ext>
          </a:extLst>
        </xdr:cNvPr>
        <xdr:cNvSpPr txBox="1"/>
      </xdr:nvSpPr>
      <xdr:spPr>
        <a:xfrm>
          <a:off x="364435" y="2426804"/>
          <a:ext cx="7131326" cy="83737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effectLst/>
            </a:rPr>
            <a:t>Introduction and Purpose</a:t>
          </a:r>
          <a:br>
            <a:rPr lang="en-US" b="1">
              <a:effectLst/>
            </a:rPr>
          </a:br>
          <a:r>
            <a:rPr lang="en-US">
              <a:effectLst/>
            </a:rPr>
            <a:t>The VarStec Capacitor Bank Altitude Derating &amp; Insulation Coordination Tool is a comprehensive engineering calculation workbook developed to evaluate the dielectric withstand capabilities of medium-voltage (2.4 kV through 38 kV) metal-enclosed capacitor banks and harmonic filter banks applied at high altitudes.</a:t>
          </a:r>
          <a:br>
            <a:rPr lang="en-US">
              <a:effectLst/>
            </a:rPr>
          </a:br>
          <a:endParaRPr lang="en-US">
            <a:effectLst/>
          </a:endParaRPr>
        </a:p>
        <a:p>
          <a:r>
            <a:rPr lang="en-US">
              <a:effectLst/>
            </a:rPr>
            <a:t>A common industry practice for installations above 1000 meters (3300 feet) is to automatically apply a physical derating factor to the equipment's insulation, forcing the purchase of artificially oversized, higher-rated BIL equipment. The primary purpose of this tool is to provide</a:t>
          </a:r>
          <a:r>
            <a:rPr lang="en-US" baseline="0">
              <a:effectLst/>
            </a:rPr>
            <a:t> the basis in incordance with global standards </a:t>
          </a:r>
          <a:r>
            <a:rPr lang="en-US">
              <a:effectLst/>
            </a:rPr>
            <a:t>that </a:t>
          </a:r>
          <a:r>
            <a:rPr lang="en-US" b="1">
              <a:effectLst/>
            </a:rPr>
            <a:t>upsizing equipment ratings is not necessarily required</a:t>
          </a:r>
          <a:r>
            <a:rPr lang="en-US">
              <a:effectLst/>
            </a:rPr>
            <a:t>. By correctly applying and coordinating properly rated surge arresters, transient overvoltages are restricted to safe levels below the altitude-reduced dielectric strength of the equipment. This standard-sanctioned mitigation strategy leads to a highly optimized design, providing significant cost savings and minimizing the physical footprint of the equipment.</a:t>
          </a:r>
        </a:p>
        <a:p>
          <a:br>
            <a:rPr lang="en-US">
              <a:effectLst/>
            </a:rPr>
          </a:br>
          <a:r>
            <a:rPr lang="en-US">
              <a:effectLst/>
            </a:rPr>
            <a:t>The tool implements the most current industry guidance and evaluates insulation coordination using a rigorous dual-engine approach based on:</a:t>
          </a:r>
          <a:br>
            <a:rPr lang="en-US">
              <a:effectLst/>
            </a:rPr>
          </a:br>
          <a:endParaRPr lang="en-US">
            <a:effectLst/>
          </a:endParaRPr>
        </a:p>
        <a:p>
          <a:pPr lvl="1"/>
          <a:r>
            <a:rPr lang="en-US" sz="1100" b="0" i="0">
              <a:solidFill>
                <a:schemeClr val="dk1"/>
              </a:solidFill>
              <a:effectLst/>
              <a:latin typeface="+mn-lt"/>
              <a:ea typeface="+mn-ea"/>
              <a:cs typeface="+mn-cs"/>
            </a:rPr>
            <a:t>● IEEE Std C62.22 (Application of Metal-Oxide Surge Arresters)</a:t>
          </a:r>
        </a:p>
        <a:p>
          <a:pPr lvl="1"/>
          <a:r>
            <a:rPr lang="en-US" sz="1100" b="0" i="0">
              <a:solidFill>
                <a:schemeClr val="dk1"/>
              </a:solidFill>
              <a:effectLst/>
              <a:latin typeface="+mn-lt"/>
              <a:ea typeface="+mn-ea"/>
              <a:cs typeface="+mn-cs"/>
            </a:rPr>
            <a:t>● IEC 60071-1 and IEC 60071-2 (Insulation Co-ordination)</a:t>
          </a:r>
        </a:p>
        <a:p>
          <a:pPr lvl="1"/>
          <a:r>
            <a:rPr lang="en-US" sz="1100" b="0" i="0">
              <a:solidFill>
                <a:schemeClr val="dk1"/>
              </a:solidFill>
              <a:effectLst/>
              <a:latin typeface="+mn-lt"/>
              <a:ea typeface="+mn-ea"/>
              <a:cs typeface="+mn-cs"/>
            </a:rPr>
            <a:t>● IEEE Std C37.010, C37.20.2, and C37.20.3 (High-Altitude Application Guidelines)</a:t>
          </a:r>
        </a:p>
        <a:p>
          <a:pPr lvl="1"/>
          <a:r>
            <a:rPr lang="en-US" sz="1100" b="0" i="0">
              <a:solidFill>
                <a:schemeClr val="dk1"/>
              </a:solidFill>
              <a:effectLst/>
              <a:latin typeface="+mn-lt"/>
              <a:ea typeface="+mn-ea"/>
              <a:cs typeface="+mn-cs"/>
            </a:rPr>
            <a:t>● IEC TR 62271-306 and IEC 60694 / 60871-1 (Rated Insulation Levels and Altitude Correction)</a:t>
          </a:r>
        </a:p>
        <a:p>
          <a:pPr lvl="0"/>
          <a:br>
            <a:rPr lang="en-US" sz="1100" b="0" i="0">
              <a:solidFill>
                <a:schemeClr val="dk1"/>
              </a:solidFill>
              <a:effectLst/>
              <a:latin typeface="+mn-lt"/>
              <a:ea typeface="+mn-ea"/>
              <a:cs typeface="+mn-cs"/>
            </a:rPr>
          </a:br>
          <a:br>
            <a:rPr lang="en-US" sz="1100" b="0" i="0">
              <a:solidFill>
                <a:schemeClr val="dk1"/>
              </a:solidFill>
              <a:effectLst/>
              <a:latin typeface="+mn-lt"/>
              <a:ea typeface="+mn-ea"/>
              <a:cs typeface="+mn-cs"/>
            </a:rPr>
          </a:br>
          <a:r>
            <a:rPr lang="en-US" b="1">
              <a:effectLst/>
            </a:rPr>
            <a:t>Workbook Structure and Resource Hub</a:t>
          </a:r>
          <a:br>
            <a:rPr lang="en-US" b="1">
              <a:effectLst/>
            </a:rPr>
          </a:br>
          <a:r>
            <a:rPr lang="en-US">
              <a:effectLst/>
            </a:rPr>
            <a:t>Designed as a complete resource hub for medium-voltage insulation coordination, this workbook provides the user with all necessary standard references and manufacturer data in a single location. The spreadsheet contains the following tabs:</a:t>
          </a:r>
        </a:p>
        <a:p>
          <a:pPr lvl="1"/>
          <a:br>
            <a:rPr lang="en-US" sz="1100" b="1"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Technical Overview:</a:t>
          </a:r>
          <a:r>
            <a:rPr lang="en-US" sz="1100" b="0" i="0">
              <a:solidFill>
                <a:schemeClr val="dk1"/>
              </a:solidFill>
              <a:effectLst/>
              <a:latin typeface="+mn-lt"/>
              <a:ea typeface="+mn-ea"/>
              <a:cs typeface="+mn-cs"/>
            </a:rPr>
            <a:t> This document, detailing the purpose, mechanics, and standards compliance of the tool.</a:t>
          </a:r>
        </a:p>
        <a:p>
          <a:endParaRPr lang="en-US" sz="1100" b="0" i="0">
            <a:solidFill>
              <a:schemeClr val="dk1"/>
            </a:solidFill>
            <a:effectLst/>
            <a:latin typeface="+mn-lt"/>
            <a:ea typeface="+mn-ea"/>
            <a:cs typeface="+mn-cs"/>
          </a:endParaRPr>
        </a:p>
        <a:p>
          <a:pPr lvl="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Calculation Tool:</a:t>
          </a:r>
          <a:r>
            <a:rPr lang="en-US" sz="1100" b="0" i="0">
              <a:solidFill>
                <a:schemeClr val="dk1"/>
              </a:solidFill>
              <a:effectLst/>
              <a:latin typeface="+mn-lt"/>
              <a:ea typeface="+mn-ea"/>
              <a:cs typeface="+mn-cs"/>
            </a:rPr>
            <a:t> The actual</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calculator where system parameters are evaluated</a:t>
          </a:r>
          <a:r>
            <a:rPr lang="en-US" sz="1100" b="0" i="0" baseline="0">
              <a:solidFill>
                <a:schemeClr val="dk1"/>
              </a:solidFill>
              <a:effectLst/>
              <a:latin typeface="+mn-lt"/>
              <a:ea typeface="+mn-ea"/>
              <a:cs typeface="+mn-cs"/>
            </a:rPr>
            <a:t> and designs are validated.</a:t>
          </a:r>
          <a:endParaRPr lang="en-US" sz="1100" b="0" i="0">
            <a:solidFill>
              <a:schemeClr val="dk1"/>
            </a:solidFill>
            <a:effectLst/>
            <a:latin typeface="+mn-lt"/>
            <a:ea typeface="+mn-ea"/>
            <a:cs typeface="+mn-cs"/>
          </a:endParaRPr>
        </a:p>
        <a:p>
          <a:pPr lvl="1"/>
          <a:r>
            <a:rPr lang="en-US" sz="1100" b="1" i="0">
              <a:solidFill>
                <a:schemeClr val="dk1"/>
              </a:solidFill>
              <a:effectLst/>
              <a:latin typeface="+mn-lt"/>
              <a:ea typeface="+mn-ea"/>
              <a:cs typeface="+mn-cs"/>
            </a:rPr>
            <a:t>	</a:t>
          </a:r>
          <a:br>
            <a:rPr lang="en-US" sz="1100" b="1"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Lead Length:</a:t>
          </a:r>
          <a:r>
            <a:rPr lang="en-US" sz="1100" b="0" i="0">
              <a:solidFill>
                <a:schemeClr val="dk1"/>
              </a:solidFill>
              <a:effectLst/>
              <a:latin typeface="+mn-lt"/>
              <a:ea typeface="+mn-ea"/>
              <a:cs typeface="+mn-cs"/>
            </a:rPr>
            <a:t> Guidelines and standard references on the critical nature of minimizing arrester connecting lead wires.</a:t>
          </a:r>
        </a:p>
        <a:p>
          <a:pPr lvl="1"/>
          <a:r>
            <a:rPr lang="en-US" sz="1100" b="1" i="0">
              <a:solidFill>
                <a:schemeClr val="dk1"/>
              </a:solidFill>
              <a:effectLst/>
              <a:latin typeface="+mn-lt"/>
              <a:ea typeface="+mn-ea"/>
              <a:cs typeface="+mn-cs"/>
            </a:rPr>
            <a:t>	</a:t>
          </a:r>
          <a:br>
            <a:rPr lang="en-US" sz="1100" b="1"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IEEE Rated Surge Arresters:</a:t>
          </a:r>
          <a:r>
            <a:rPr lang="en-US" sz="1100" b="0" i="0">
              <a:solidFill>
                <a:schemeClr val="dk1"/>
              </a:solidFill>
              <a:effectLst/>
              <a:latin typeface="+mn-lt"/>
              <a:ea typeface="+mn-ea"/>
              <a:cs typeface="+mn-cs"/>
            </a:rPr>
            <a:t> Reference datasheets for IEEE/ANSI C62.11 compliant arresters (e.g., GE Tranquell).</a:t>
          </a:r>
        </a:p>
        <a:p>
          <a:pPr lvl="1"/>
          <a:r>
            <a:rPr lang="en-US" sz="1100" b="1" i="0">
              <a:solidFill>
                <a:schemeClr val="dk1"/>
              </a:solidFill>
              <a:effectLst/>
              <a:latin typeface="+mn-lt"/>
              <a:ea typeface="+mn-ea"/>
              <a:cs typeface="+mn-cs"/>
            </a:rPr>
            <a:t>	</a:t>
          </a:r>
          <a:br>
            <a:rPr lang="en-US" sz="1100" b="1"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IEC Rated Surge Arresters:</a:t>
          </a:r>
          <a:r>
            <a:rPr lang="en-US" sz="1100" b="0" i="0">
              <a:solidFill>
                <a:schemeClr val="dk1"/>
              </a:solidFill>
              <a:effectLst/>
              <a:latin typeface="+mn-lt"/>
              <a:ea typeface="+mn-ea"/>
              <a:cs typeface="+mn-cs"/>
            </a:rPr>
            <a:t> Reference datasheets for IEC 60099-4 compliant arresters (e.g., Hitachi Energy/ABB).</a:t>
          </a:r>
        </a:p>
        <a:p>
          <a:pPr lvl="1"/>
          <a:r>
            <a:rPr lang="en-US" sz="1100" b="1" i="0">
              <a:solidFill>
                <a:schemeClr val="dk1"/>
              </a:solidFill>
              <a:effectLst/>
              <a:latin typeface="+mn-lt"/>
              <a:ea typeface="+mn-ea"/>
              <a:cs typeface="+mn-cs"/>
            </a:rPr>
            <a:t>	</a:t>
          </a:r>
          <a:br>
            <a:rPr lang="en-US" sz="1100" b="1"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IEEE C37.010-2016:</a:t>
          </a:r>
          <a:r>
            <a:rPr lang="en-US" sz="1100" b="0" i="0">
              <a:solidFill>
                <a:schemeClr val="dk1"/>
              </a:solidFill>
              <a:effectLst/>
              <a:latin typeface="+mn-lt"/>
              <a:ea typeface="+mn-ea"/>
              <a:cs typeface="+mn-cs"/>
            </a:rPr>
            <a:t> Excerpts validating the use of arresters to negate the need for equipment derating.</a:t>
          </a:r>
        </a:p>
        <a:p>
          <a:r>
            <a:rPr lang="en-US" sz="1100" b="1" i="0">
              <a:solidFill>
                <a:schemeClr val="dk1"/>
              </a:solidFill>
              <a:effectLst/>
              <a:latin typeface="+mn-lt"/>
              <a:ea typeface="+mn-ea"/>
              <a:cs typeface="+mn-cs"/>
            </a:rPr>
            <a:t>	</a:t>
          </a:r>
        </a:p>
        <a:p>
          <a:pPr lvl="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IEEE C37.20.2 &amp; IEEE C37.20.3 ACF Factors:</a:t>
          </a:r>
          <a:r>
            <a:rPr lang="en-US" sz="1100" b="0" i="0">
              <a:solidFill>
                <a:schemeClr val="dk1"/>
              </a:solidFill>
              <a:effectLst/>
              <a:latin typeface="+mn-lt"/>
              <a:ea typeface="+mn-ea"/>
              <a:cs typeface="+mn-cs"/>
            </a:rPr>
            <a:t> Altitude Correction Factor (ACF) tables and switchgear standard excerpts.</a:t>
          </a:r>
        </a:p>
        <a:p>
          <a:r>
            <a:rPr lang="en-US" sz="1100" b="1" i="0">
              <a:solidFill>
                <a:schemeClr val="dk1"/>
              </a:solidFill>
              <a:effectLst/>
              <a:latin typeface="+mn-lt"/>
              <a:ea typeface="+mn-ea"/>
              <a:cs typeface="+mn-cs"/>
            </a:rPr>
            <a:t>	</a:t>
          </a:r>
        </a:p>
        <a:p>
          <a:pPr lvl="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IEC 60694:</a:t>
          </a:r>
          <a:r>
            <a:rPr lang="en-US" sz="1100" b="0" i="0">
              <a:solidFill>
                <a:schemeClr val="dk1"/>
              </a:solidFill>
              <a:effectLst/>
              <a:latin typeface="+mn-lt"/>
              <a:ea typeface="+mn-ea"/>
              <a:cs typeface="+mn-cs"/>
            </a:rPr>
            <a:t> Standard excerpts regarding altitude correction (</a:t>
          </a:r>
          <a:r>
            <a:rPr lang="en-US" sz="1100" b="0" i="1">
              <a:solidFill>
                <a:schemeClr val="dk1"/>
              </a:solidFill>
              <a:effectLst/>
              <a:latin typeface="+mn-lt"/>
              <a:ea typeface="+mn-ea"/>
              <a:cs typeface="+mn-cs"/>
            </a:rPr>
            <a:t>Ka</a:t>
          </a:r>
          <a:r>
            <a:rPr lang="en-US" sz="1100" b="0" i="0">
              <a:solidFill>
                <a:schemeClr val="dk1"/>
              </a:solidFill>
              <a:effectLst/>
              <a:latin typeface="+mn-lt"/>
              <a:ea typeface="+mn-ea"/>
              <a:cs typeface="+mn-cs"/>
            </a:rPr>
            <a:t>​) and insulation level selection based on overvoltage limiting devices.</a:t>
          </a:r>
        </a:p>
        <a:p>
          <a:endParaRPr lang="en-US" sz="1100" b="0" i="0">
            <a:solidFill>
              <a:schemeClr val="dk1"/>
            </a:solidFill>
            <a:effectLst/>
            <a:latin typeface="+mn-lt"/>
            <a:ea typeface="+mn-ea"/>
            <a:cs typeface="+mn-cs"/>
          </a:endParaRPr>
        </a:p>
        <a:p>
          <a:endParaRPr lang="en-US" sz="1100"/>
        </a:p>
      </xdr:txBody>
    </xdr:sp>
    <xdr:clientData/>
  </xdr:twoCellAnchor>
  <xdr:twoCellAnchor>
    <xdr:from>
      <xdr:col>44</xdr:col>
      <xdr:colOff>8283</xdr:colOff>
      <xdr:row>6</xdr:row>
      <xdr:rowOff>124239</xdr:rowOff>
    </xdr:from>
    <xdr:to>
      <xdr:col>83</xdr:col>
      <xdr:colOff>8283</xdr:colOff>
      <xdr:row>46</xdr:row>
      <xdr:rowOff>16565</xdr:rowOff>
    </xdr:to>
    <xdr:sp macro="" textlink="">
      <xdr:nvSpPr>
        <xdr:cNvPr id="6" name="TextBox 5">
          <a:extLst>
            <a:ext uri="{FF2B5EF4-FFF2-40B4-BE49-F238E27FC236}">
              <a16:creationId xmlns:a16="http://schemas.microsoft.com/office/drawing/2014/main" id="{31127E07-7B42-7441-5F5A-88713DE62F79}"/>
            </a:ext>
          </a:extLst>
        </xdr:cNvPr>
        <xdr:cNvSpPr txBox="1"/>
      </xdr:nvSpPr>
      <xdr:spPr>
        <a:xfrm>
          <a:off x="8025848" y="1515717"/>
          <a:ext cx="7106478" cy="91688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effectLst/>
            </a:rPr>
            <a:t>Analysis Scope and Required Inputs</a:t>
          </a:r>
          <a:r>
            <a:rPr lang="en-US">
              <a:effectLst/>
            </a:rPr>
            <a:t> To perform an accurate analysis, the user inputs variables across three main categories: </a:t>
          </a:r>
          <a:r>
            <a:rPr lang="en-US" b="1">
              <a:effectLst/>
            </a:rPr>
            <a:t>1) System &amp; Environmental Data:</a:t>
          </a:r>
          <a:r>
            <a:rPr lang="en-US">
              <a:effectLst/>
            </a:rPr>
            <a:t> Nominal system voltage, maximum system voltage (</a:t>
          </a:r>
          <a:r>
            <a:rPr lang="en-US" sz="1100" i="1">
              <a:solidFill>
                <a:schemeClr val="dk1"/>
              </a:solidFill>
              <a:effectLst/>
              <a:latin typeface="+mn-lt"/>
              <a:ea typeface="+mn-ea"/>
              <a:cs typeface="+mn-cs"/>
            </a:rPr>
            <a:t>Um</a:t>
          </a:r>
          <a:r>
            <a:rPr lang="en-US" sz="1100">
              <a:solidFill>
                <a:schemeClr val="dk1"/>
              </a:solidFill>
              <a:effectLst/>
              <a:latin typeface="+mn-lt"/>
              <a:ea typeface="+mn-ea"/>
              <a:cs typeface="+mn-cs"/>
            </a:rPr>
            <a:t>​</a:t>
          </a:r>
          <a:r>
            <a:rPr lang="en-US">
              <a:effectLst/>
            </a:rPr>
            <a:t>), system grounding type, and the target installation altitude. </a:t>
          </a:r>
          <a:r>
            <a:rPr lang="en-US" b="1">
              <a:effectLst/>
            </a:rPr>
            <a:t>2) Equipment Nameplate Ratings:</a:t>
          </a:r>
          <a:r>
            <a:rPr lang="en-US">
              <a:effectLst/>
            </a:rPr>
            <a:t> The standard sea-level Basic Lightning Impulse Insulation Level (BIL) and Power Frequency Withstand (PFW) of the selected equipment. </a:t>
          </a:r>
          <a:r>
            <a:rPr lang="en-US" b="1">
              <a:effectLst/>
            </a:rPr>
            <a:t>3) Surge Arrester Characteristics &amp; Geometry:</a:t>
          </a:r>
          <a:r>
            <a:rPr lang="en-US">
              <a:effectLst/>
            </a:rPr>
            <a:t> The user selects the governing standard (IEEE or IEC) and enters the arrester’s Continuous Operating Voltage (MCOV/</a:t>
          </a:r>
          <a:r>
            <a:rPr lang="en-US" sz="1100" i="1">
              <a:solidFill>
                <a:schemeClr val="dk1"/>
              </a:solidFill>
              <a:effectLst/>
              <a:latin typeface="+mn-lt"/>
              <a:ea typeface="+mn-ea"/>
              <a:cs typeface="+mn-cs"/>
            </a:rPr>
            <a:t>Uc</a:t>
          </a:r>
          <a:r>
            <a:rPr lang="en-US" sz="1100">
              <a:solidFill>
                <a:schemeClr val="dk1"/>
              </a:solidFill>
              <a:effectLst/>
              <a:latin typeface="+mn-lt"/>
              <a:ea typeface="+mn-ea"/>
              <a:cs typeface="+mn-cs"/>
            </a:rPr>
            <a:t>​</a:t>
          </a:r>
          <a:r>
            <a:rPr lang="en-US">
              <a:effectLst/>
            </a:rPr>
            <a:t>), Lightning Protective Level (LPL), Front-of-Wave (FOW), and Switching Protective Level (SPL). Critically, the user must input the assumed surge rate-of-rise (</a:t>
          </a:r>
          <a:r>
            <a:rPr lang="en-US" sz="1100" i="1">
              <a:solidFill>
                <a:schemeClr val="dk1"/>
              </a:solidFill>
              <a:effectLst/>
              <a:latin typeface="+mn-lt"/>
              <a:ea typeface="+mn-ea"/>
              <a:cs typeface="+mn-cs"/>
            </a:rPr>
            <a:t>di</a:t>
          </a:r>
          <a:r>
            <a:rPr lang="en-US" sz="1100">
              <a:solidFill>
                <a:schemeClr val="dk1"/>
              </a:solidFill>
              <a:effectLst/>
              <a:latin typeface="+mn-lt"/>
              <a:ea typeface="+mn-ea"/>
              <a:cs typeface="+mn-cs"/>
            </a:rPr>
            <a:t>/</a:t>
          </a:r>
          <a:r>
            <a:rPr lang="en-US" sz="1100" i="1">
              <a:solidFill>
                <a:schemeClr val="dk1"/>
              </a:solidFill>
              <a:effectLst/>
              <a:latin typeface="+mn-lt"/>
              <a:ea typeface="+mn-ea"/>
              <a:cs typeface="+mn-cs"/>
            </a:rPr>
            <a:t>dt</a:t>
          </a:r>
          <a:r>
            <a:rPr lang="en-US">
              <a:effectLst/>
            </a:rPr>
            <a:t>) and the physical </a:t>
          </a:r>
          <a:r>
            <a:rPr lang="en-US" b="1">
              <a:effectLst/>
            </a:rPr>
            <a:t>Arrester Lead Length</a:t>
          </a:r>
          <a:r>
            <a:rPr lang="en-US">
              <a:effectLst/>
            </a:rPr>
            <a:t>. Lead length significantly increases the total voltage stress on the equipment due to inductive voltage drop. VarStec design practice strives for less than 1 foot of total lead length to maximize the protective benefits of the surge arrester.</a:t>
          </a:r>
        </a:p>
        <a:p>
          <a:endParaRPr lang="en-US" b="1">
            <a:effectLst/>
          </a:endParaRPr>
        </a:p>
        <a:p>
          <a:r>
            <a:rPr lang="en-US" b="1">
              <a:effectLst/>
            </a:rPr>
            <a:t>Dual-Standard</a:t>
          </a:r>
          <a:r>
            <a:rPr lang="en-US" b="1" baseline="0">
              <a:effectLst/>
            </a:rPr>
            <a:t> (IEC/IEEE)</a:t>
          </a:r>
          <a:r>
            <a:rPr lang="en-US" b="1">
              <a:effectLst/>
            </a:rPr>
            <a:t> Verification Logic</a:t>
          </a:r>
          <a:r>
            <a:rPr lang="en-US">
              <a:effectLst/>
            </a:rPr>
            <a:t> The core function of the tool evaluates the inputs simultaneously through both IEEE and IEC methodologies to provide global compliance verification.</a:t>
          </a:r>
        </a:p>
        <a:p>
          <a:endParaRPr lang="en-US" b="1">
            <a:effectLst/>
          </a:endParaRPr>
        </a:p>
        <a:p>
          <a:r>
            <a:rPr lang="en-US" b="1">
              <a:effectLst/>
            </a:rPr>
            <a:t>1. IEEE C62.22 Protective Margin Verification (Equipment-Down Method)</a:t>
          </a:r>
          <a:r>
            <a:rPr lang="en-US">
              <a:effectLst/>
            </a:rPr>
            <a:t> The tool calculates the Altitude Correction Factor (ACF) and derates the equipment's standard BIL and Chopped Wave Withstand (CWW) to determine its actual dielectric strength at the target altitude. It then calculates the total maximum surge voltage at the equipment by adding the arrester's protective level to the inductive voltage drop of the connecting leads. A </a:t>
          </a:r>
          <a:r>
            <a:rPr lang="en-US" b="1">
              <a:effectLst/>
            </a:rPr>
            <a:t>PASS</a:t>
          </a:r>
          <a:r>
            <a:rPr lang="en-US">
              <a:effectLst/>
            </a:rPr>
            <a:t> is achieved if the Protective Margins (</a:t>
          </a:r>
          <a:r>
            <a:rPr lang="en-US" sz="1100" i="1">
              <a:solidFill>
                <a:schemeClr val="dk1"/>
              </a:solidFill>
              <a:effectLst/>
              <a:latin typeface="+mn-lt"/>
              <a:ea typeface="+mn-ea"/>
              <a:cs typeface="+mn-cs"/>
            </a:rPr>
            <a:t>PML</a:t>
          </a:r>
          <a:r>
            <a:rPr lang="en-US" sz="1100">
              <a:solidFill>
                <a:schemeClr val="dk1"/>
              </a:solidFill>
              <a:effectLst/>
              <a:latin typeface="+mn-lt"/>
              <a:ea typeface="+mn-ea"/>
              <a:cs typeface="+mn-cs"/>
            </a:rPr>
            <a:t>1​</a:t>
          </a:r>
          <a:r>
            <a:rPr lang="en-US">
              <a:effectLst/>
            </a:rPr>
            <a:t> and </a:t>
          </a:r>
          <a:r>
            <a:rPr lang="en-US" sz="1100" i="1">
              <a:solidFill>
                <a:schemeClr val="dk1"/>
              </a:solidFill>
              <a:effectLst/>
              <a:latin typeface="+mn-lt"/>
              <a:ea typeface="+mn-ea"/>
              <a:cs typeface="+mn-cs"/>
            </a:rPr>
            <a:t>PML</a:t>
          </a:r>
          <a:r>
            <a:rPr lang="en-US" sz="1100">
              <a:solidFill>
                <a:schemeClr val="dk1"/>
              </a:solidFill>
              <a:effectLst/>
              <a:latin typeface="+mn-lt"/>
              <a:ea typeface="+mn-ea"/>
              <a:cs typeface="+mn-cs"/>
            </a:rPr>
            <a:t>2​</a:t>
          </a:r>
          <a:r>
            <a:rPr lang="en-US">
              <a:effectLst/>
            </a:rPr>
            <a:t>) between the total surge voltage and the derated equipment strength remain strictly </a:t>
          </a:r>
          <a:r>
            <a:rPr lang="en-US" sz="1100">
              <a:solidFill>
                <a:schemeClr val="dk1"/>
              </a:solidFill>
              <a:effectLst/>
              <a:latin typeface="+mn-lt"/>
              <a:ea typeface="+mn-ea"/>
              <a:cs typeface="+mn-cs"/>
            </a:rPr>
            <a:t>≥20%</a:t>
          </a:r>
          <a:r>
            <a:rPr lang="en-US">
              <a:effectLst/>
            </a:rPr>
            <a:t>, as mandated by IEEE C62.22 for non-self-restoring insulation.</a:t>
          </a:r>
        </a:p>
        <a:p>
          <a:endParaRPr lang="en-US" b="1">
            <a:effectLst/>
          </a:endParaRPr>
        </a:p>
        <a:p>
          <a:pPr lvl="0"/>
          <a:r>
            <a:rPr lang="en-US" b="1">
              <a:effectLst/>
            </a:rPr>
            <a:t>2. IEC 60071-2 Required Withstand Verification (Surge-Up Method)</a:t>
          </a:r>
          <a:r>
            <a:rPr lang="en-US">
              <a:effectLst/>
            </a:rPr>
            <a:t> The IEC engine approaches the physics from the opposite direction. It takes the actual Coordination Withstand Voltage (</a:t>
          </a:r>
          <a:r>
            <a:rPr lang="en-US" sz="1100" i="1">
              <a:solidFill>
                <a:schemeClr val="dk1"/>
              </a:solidFill>
              <a:effectLst/>
              <a:latin typeface="+mn-lt"/>
              <a:ea typeface="+mn-ea"/>
              <a:cs typeface="+mn-cs"/>
            </a:rPr>
            <a:t>Ucw</a:t>
          </a:r>
          <a:r>
            <a:rPr lang="en-US" sz="1100">
              <a:solidFill>
                <a:schemeClr val="dk1"/>
              </a:solidFill>
              <a:effectLst/>
              <a:latin typeface="+mn-lt"/>
              <a:ea typeface="+mn-ea"/>
              <a:cs typeface="+mn-cs"/>
            </a:rPr>
            <a:t>​</a:t>
          </a:r>
          <a:r>
            <a:rPr lang="en-US">
              <a:effectLst/>
            </a:rPr>
            <a:t>) clamped by the arrester, multiplies it by the mandated safety factor (</a:t>
          </a:r>
          <a:r>
            <a:rPr lang="en-US" sz="1100" i="1">
              <a:solidFill>
                <a:schemeClr val="dk1"/>
              </a:solidFill>
              <a:effectLst/>
              <a:latin typeface="+mn-lt"/>
              <a:ea typeface="+mn-ea"/>
              <a:cs typeface="+mn-cs"/>
            </a:rPr>
            <a:t>Ks</a:t>
          </a:r>
          <a:r>
            <a:rPr lang="en-US" sz="1100">
              <a:solidFill>
                <a:schemeClr val="dk1"/>
              </a:solidFill>
              <a:effectLst/>
              <a:latin typeface="+mn-lt"/>
              <a:ea typeface="+mn-ea"/>
              <a:cs typeface="+mn-cs"/>
            </a:rPr>
            <a:t>​=1.15</a:t>
          </a:r>
          <a:r>
            <a:rPr lang="en-US">
              <a:effectLst/>
            </a:rPr>
            <a:t>), and applies the atmospheric altitude correction factor (</a:t>
          </a:r>
          <a:r>
            <a:rPr lang="en-US" sz="1100" i="1">
              <a:solidFill>
                <a:schemeClr val="dk1"/>
              </a:solidFill>
              <a:effectLst/>
              <a:latin typeface="+mn-lt"/>
              <a:ea typeface="+mn-ea"/>
              <a:cs typeface="+mn-cs"/>
            </a:rPr>
            <a:t>Ka</a:t>
          </a:r>
          <a:r>
            <a:rPr lang="en-US" sz="1100">
              <a:solidFill>
                <a:schemeClr val="dk1"/>
              </a:solidFill>
              <a:effectLst/>
              <a:latin typeface="+mn-lt"/>
              <a:ea typeface="+mn-ea"/>
              <a:cs typeface="+mn-cs"/>
            </a:rPr>
            <a:t>​</a:t>
          </a:r>
          <a:r>
            <a:rPr lang="en-US">
              <a:effectLst/>
            </a:rPr>
            <a:t>) </a:t>
          </a:r>
          <a:r>
            <a:rPr lang="en-US" i="1">
              <a:effectLst/>
            </a:rPr>
            <a:t>upward</a:t>
          </a:r>
          <a:r>
            <a:rPr lang="en-US">
              <a:effectLst/>
            </a:rPr>
            <a:t>. This calculates the Required Withstand Voltage (</a:t>
          </a:r>
          <a:r>
            <a:rPr lang="en-US" sz="1100" i="1">
              <a:solidFill>
                <a:schemeClr val="dk1"/>
              </a:solidFill>
              <a:effectLst/>
              <a:latin typeface="+mn-lt"/>
              <a:ea typeface="+mn-ea"/>
              <a:cs typeface="+mn-cs"/>
            </a:rPr>
            <a:t>Urw</a:t>
          </a:r>
          <a:r>
            <a:rPr lang="en-US" sz="1100">
              <a:solidFill>
                <a:schemeClr val="dk1"/>
              </a:solidFill>
              <a:effectLst/>
              <a:latin typeface="+mn-lt"/>
              <a:ea typeface="+mn-ea"/>
              <a:cs typeface="+mn-cs"/>
            </a:rPr>
            <a:t>​</a:t>
          </a:r>
          <a:r>
            <a:rPr lang="en-US">
              <a:effectLst/>
            </a:rPr>
            <a:t>) at standard sea-level conditions. A </a:t>
          </a:r>
          <a:r>
            <a:rPr lang="en-US" b="1">
              <a:effectLst/>
            </a:rPr>
            <a:t>PASS</a:t>
          </a:r>
          <a:r>
            <a:rPr lang="en-US">
              <a:effectLst/>
            </a:rPr>
            <a:t> is achieved if the equipment's standard Nameplate BIL is greater than or equal to the calculated </a:t>
          </a:r>
          <a:r>
            <a:rPr lang="en-US" sz="1100" i="1">
              <a:solidFill>
                <a:schemeClr val="dk1"/>
              </a:solidFill>
              <a:effectLst/>
              <a:latin typeface="+mn-lt"/>
              <a:ea typeface="+mn-ea"/>
              <a:cs typeface="+mn-cs"/>
            </a:rPr>
            <a:t>Urw</a:t>
          </a:r>
          <a:r>
            <a:rPr lang="en-US" sz="1100">
              <a:solidFill>
                <a:schemeClr val="dk1"/>
              </a:solidFill>
              <a:effectLst/>
              <a:latin typeface="+mn-lt"/>
              <a:ea typeface="+mn-ea"/>
              <a:cs typeface="+mn-cs"/>
            </a:rPr>
            <a:t>​</a:t>
          </a:r>
          <a:r>
            <a:rPr lang="en-US">
              <a:effectLst/>
            </a:rPr>
            <a:t>.</a:t>
          </a:r>
        </a:p>
        <a:p>
          <a:pPr lvl="1"/>
          <a:br>
            <a:rPr lang="en-US">
              <a:effectLst/>
            </a:rPr>
          </a:br>
          <a:r>
            <a:rPr lang="en-US" sz="1100" b="0" i="0">
              <a:solidFill>
                <a:schemeClr val="dk1"/>
              </a:solidFill>
              <a:effectLst/>
              <a:latin typeface="+mn-lt"/>
              <a:ea typeface="+mn-ea"/>
              <a:cs typeface="+mn-cs"/>
            </a:rPr>
            <a:t>● </a:t>
          </a:r>
          <a:r>
            <a:rPr lang="en-US" b="1">
              <a:effectLst/>
            </a:rPr>
            <a:t>Mitigation Measures for FAIL Conditions</a:t>
          </a:r>
          <a:r>
            <a:rPr lang="en-US">
              <a:effectLst/>
            </a:rPr>
            <a:t> If the calculated transient duty indicates that the standard equipment will not be adequately protected at altitude (a </a:t>
          </a:r>
          <a:r>
            <a:rPr lang="en-US" b="1">
              <a:effectLst/>
            </a:rPr>
            <a:t>FAIL</a:t>
          </a:r>
          <a:r>
            <a:rPr lang="en-US">
              <a:effectLst/>
            </a:rPr>
            <a:t> condition), the tool's dynamic narrative guides the user through standard-sanctioned mitigation strategies per IEEE C62.22:</a:t>
          </a:r>
        </a:p>
        <a:p>
          <a:endParaRPr lang="en-US" sz="1100" b="1" i="0">
            <a:solidFill>
              <a:schemeClr val="dk1"/>
            </a:solidFill>
            <a:effectLst/>
            <a:latin typeface="+mn-lt"/>
            <a:ea typeface="+mn-ea"/>
            <a:cs typeface="+mn-cs"/>
          </a:endParaRPr>
        </a:p>
        <a:p>
          <a:pPr lvl="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Reduce Arrester Lead Length:</a:t>
          </a:r>
          <a:r>
            <a:rPr lang="en-US" sz="1100" b="0" i="0">
              <a:solidFill>
                <a:schemeClr val="dk1"/>
              </a:solidFill>
              <a:effectLst/>
              <a:latin typeface="+mn-lt"/>
              <a:ea typeface="+mn-ea"/>
              <a:cs typeface="+mn-cs"/>
            </a:rPr>
            <a:t> Minimizing the separation distance and connecting wires drastically reduces the inductive voltage drop.</a:t>
          </a:r>
        </a:p>
        <a:p>
          <a:endParaRPr lang="en-US" sz="1100" b="1" i="0">
            <a:solidFill>
              <a:schemeClr val="dk1"/>
            </a:solidFill>
            <a:effectLst/>
            <a:latin typeface="+mn-lt"/>
            <a:ea typeface="+mn-ea"/>
            <a:cs typeface="+mn-cs"/>
          </a:endParaRPr>
        </a:p>
        <a:p>
          <a:pPr lvl="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Improve Arrester Protective Characteristics:</a:t>
          </a:r>
          <a:r>
            <a:rPr lang="en-US" sz="1100" b="0" i="0">
              <a:solidFill>
                <a:schemeClr val="dk1"/>
              </a:solidFill>
              <a:effectLst/>
              <a:latin typeface="+mn-lt"/>
              <a:ea typeface="+mn-ea"/>
              <a:cs typeface="+mn-cs"/>
            </a:rPr>
            <a:t> Selecting an arrester with a lower discharge clamping voltage (e.g., Station Class over Distribution Class) reduces the baseline surge stress.</a:t>
          </a:r>
        </a:p>
        <a:p>
          <a:endParaRPr lang="en-US" sz="1100" b="1" i="0">
            <a:solidFill>
              <a:schemeClr val="dk1"/>
            </a:solidFill>
            <a:effectLst/>
            <a:latin typeface="+mn-lt"/>
            <a:ea typeface="+mn-ea"/>
            <a:cs typeface="+mn-cs"/>
          </a:endParaRPr>
        </a:p>
        <a:p>
          <a:pPr lvl="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Partially Increase Equipment Insulation Rating:</a:t>
          </a:r>
          <a:r>
            <a:rPr lang="en-US" sz="1100" b="0" i="0">
              <a:solidFill>
                <a:schemeClr val="dk1"/>
              </a:solidFill>
              <a:effectLst/>
              <a:latin typeface="+mn-lt"/>
              <a:ea typeface="+mn-ea"/>
              <a:cs typeface="+mn-cs"/>
            </a:rPr>
            <a:t> If optimal arrester application cannot achieve the required margins, the equipment BIL must be increased. However, the tool guarantees that this increase is kept to the absolute minimum standard step.</a:t>
          </a:r>
        </a:p>
        <a:p>
          <a:endParaRPr lang="en-US" sz="1100" b="1" i="0">
            <a:solidFill>
              <a:schemeClr val="dk1"/>
            </a:solidFill>
            <a:effectLst/>
            <a:latin typeface="+mn-lt"/>
            <a:ea typeface="+mn-ea"/>
            <a:cs typeface="+mn-cs"/>
          </a:endParaRPr>
        </a:p>
        <a:p>
          <a:r>
            <a:rPr lang="en-US" sz="1100" b="1" i="0">
              <a:solidFill>
                <a:schemeClr val="dk1"/>
              </a:solidFill>
              <a:effectLst/>
              <a:latin typeface="+mn-lt"/>
              <a:ea typeface="+mn-ea"/>
              <a:cs typeface="+mn-cs"/>
            </a:rPr>
            <a:t>Summary</a:t>
          </a:r>
          <a:r>
            <a:rPr lang="en-US" sz="1100" b="0" i="0">
              <a:solidFill>
                <a:schemeClr val="dk1"/>
              </a:solidFill>
              <a:effectLst/>
              <a:latin typeface="+mn-lt"/>
              <a:ea typeface="+mn-ea"/>
              <a:cs typeface="+mn-cs"/>
            </a:rPr>
            <a:t> The VarStec Capacitor Bank Altitude Derating &amp; Insulation Coordination Tool provides a highly rigorous, standards-backed method for evaluating equipment viability at unusual altitudes. By combining IEEE and IEC modeling, the tool proves to EPCs and reviewing engineers that standard switchgear ratings, when paired with tightly coordinated surge arresters, are completely compliant for high-altitude applications. This engineering approach eliminates the automatic penalty of upsizing equipment, ensuring a safe, compact, and economically optimized installation.</a:t>
          </a:r>
          <a:endParaRPr lang="en-US">
            <a:effectLst/>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99E6078E-17C4-4188-B2AF-1DB4BCA264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3" name="Picture 2">
          <a:extLst>
            <a:ext uri="{FF2B5EF4-FFF2-40B4-BE49-F238E27FC236}">
              <a16:creationId xmlns:a16="http://schemas.microsoft.com/office/drawing/2014/main" id="{6E509D2B-0669-4975-80F2-EB6CC1CDDE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4" name="Picture 3">
          <a:extLst>
            <a:ext uri="{FF2B5EF4-FFF2-40B4-BE49-F238E27FC236}">
              <a16:creationId xmlns:a16="http://schemas.microsoft.com/office/drawing/2014/main" id="{7982E1FB-9416-49D6-81CD-F4933E2CE3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427756"/>
          <a:ext cx="1638301" cy="819151"/>
        </a:xfrm>
        <a:prstGeom prst="rect">
          <a:avLst/>
        </a:prstGeom>
      </xdr:spPr>
    </xdr:pic>
    <xdr:clientData/>
  </xdr:oneCellAnchor>
  <xdr:oneCellAnchor>
    <xdr:from>
      <xdr:col>74</xdr:col>
      <xdr:colOff>19049</xdr:colOff>
      <xdr:row>50</xdr:row>
      <xdr:rowOff>73956</xdr:rowOff>
    </xdr:from>
    <xdr:ext cx="1638301" cy="819151"/>
    <xdr:pic>
      <xdr:nvPicPr>
        <xdr:cNvPr id="5" name="Picture 4">
          <a:extLst>
            <a:ext uri="{FF2B5EF4-FFF2-40B4-BE49-F238E27FC236}">
              <a16:creationId xmlns:a16="http://schemas.microsoft.com/office/drawing/2014/main" id="{99364FC3-1608-4018-B016-ABA0232A1A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427756"/>
          <a:ext cx="1638301" cy="819151"/>
        </a:xfrm>
        <a:prstGeom prst="rect">
          <a:avLst/>
        </a:prstGeom>
      </xdr:spPr>
    </xdr:pic>
    <xdr:clientData/>
  </xdr:oneCellAnchor>
  <xdr:twoCellAnchor>
    <xdr:from>
      <xdr:col>2</xdr:col>
      <xdr:colOff>1465</xdr:colOff>
      <xdr:row>14</xdr:row>
      <xdr:rowOff>17054</xdr:rowOff>
    </xdr:from>
    <xdr:to>
      <xdr:col>41</xdr:col>
      <xdr:colOff>95250</xdr:colOff>
      <xdr:row>26</xdr:row>
      <xdr:rowOff>29404</xdr:rowOff>
    </xdr:to>
    <xdr:sp macro="" textlink="">
      <xdr:nvSpPr>
        <xdr:cNvPr id="10" name="TextBox 9">
          <a:extLst>
            <a:ext uri="{FF2B5EF4-FFF2-40B4-BE49-F238E27FC236}">
              <a16:creationId xmlns:a16="http://schemas.microsoft.com/office/drawing/2014/main" id="{D155C15F-5FB7-45AA-8D2E-F9485FB72794}"/>
            </a:ext>
          </a:extLst>
        </xdr:cNvPr>
        <xdr:cNvSpPr txBox="1"/>
      </xdr:nvSpPr>
      <xdr:spPr>
        <a:xfrm>
          <a:off x="367811" y="3196939"/>
          <a:ext cx="7237535" cy="273796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effectLst/>
            </a:rPr>
            <a:t>This tool verifies insulation coordination and surge arrester protective margins for medium-voltage metal-enclosed capacitor and harmonic filter banks (2.4 kV through 38 kV, up to 200 kV BIL) applied at non-standard altitudes. It performs  evaluations in accordance with both IEEE and IEC methodologies.</a:t>
          </a:r>
        </a:p>
        <a:p>
          <a:endParaRPr lang="en-US">
            <a:effectLst/>
          </a:endParaRPr>
        </a:p>
        <a:p>
          <a:r>
            <a:rPr lang="en-US">
              <a:effectLst/>
            </a:rPr>
            <a:t>By calculating the loss of dielectric strength due to reduced air density at high altitudes and comparing it to the clamping voltage of the applied surge arresters, the tool determines whether standard insulation margins remain fully compliant. It provides documented mathematical proof that standard sea-level equipment can safely be applied at elevation by utilizing properly rated and coordinated surge arresters. Both the applicable IEEE and IEC standards explicitly account for this mitigation strategy, meaning full compliance is achieved while avoiding the higher costs and additional space associated with elevated BIL equipment.</a:t>
          </a:r>
        </a:p>
        <a:p>
          <a:endParaRPr lang="en-US">
            <a:effectLst/>
          </a:endParaRPr>
        </a:p>
        <a:p>
          <a:r>
            <a:rPr lang="en-US">
              <a:effectLst/>
            </a:rPr>
            <a:t>This tool is essential for use for projects in extreme elevations, where standard nameplate equipment may no longer be adequate by allowing the user to verify the lowest possible elevated BIL rating that can be safely protected by a surge arrester. This ensures that </a:t>
          </a:r>
          <a:r>
            <a:rPr lang="en-US" sz="1100">
              <a:solidFill>
                <a:schemeClr val="dk1"/>
              </a:solidFill>
              <a:effectLst/>
              <a:latin typeface="+mn-lt"/>
              <a:ea typeface="+mn-ea"/>
              <a:cs typeface="+mn-cs"/>
            </a:rPr>
            <a:t>the equipment rating is strictly minimized </a:t>
          </a:r>
          <a:r>
            <a:rPr lang="en-US">
              <a:effectLst/>
            </a:rPr>
            <a:t>even when an insulation upgrade is required, resulting in a highly optimized, cost-effective, and fully compliant design.</a:t>
          </a:r>
        </a:p>
        <a:p>
          <a:br>
            <a:rPr lang="en-US"/>
          </a:br>
          <a:br>
            <a:rPr lang="en-US"/>
          </a:br>
          <a:endParaRPr lang="en-US" sz="1100"/>
        </a:p>
      </xdr:txBody>
    </xdr:sp>
    <xdr:clientData/>
  </xdr:twoCellAnchor>
  <xdr:twoCellAnchor>
    <xdr:from>
      <xdr:col>22</xdr:col>
      <xdr:colOff>28575</xdr:colOff>
      <xdr:row>40</xdr:row>
      <xdr:rowOff>134592</xdr:rowOff>
    </xdr:from>
    <xdr:to>
      <xdr:col>25</xdr:col>
      <xdr:colOff>160734</xdr:colOff>
      <xdr:row>40</xdr:row>
      <xdr:rowOff>134592</xdr:rowOff>
    </xdr:to>
    <xdr:cxnSp macro="">
      <xdr:nvCxnSpPr>
        <xdr:cNvPr id="12" name="Straight Arrow Connector 11">
          <a:extLst>
            <a:ext uri="{FF2B5EF4-FFF2-40B4-BE49-F238E27FC236}">
              <a16:creationId xmlns:a16="http://schemas.microsoft.com/office/drawing/2014/main" id="{89EAC2FD-4A72-E245-E9B7-5CC8B08A880E}"/>
            </a:ext>
          </a:extLst>
        </xdr:cNvPr>
        <xdr:cNvCxnSpPr/>
      </xdr:nvCxnSpPr>
      <xdr:spPr>
        <a:xfrm>
          <a:off x="4037358" y="9411114"/>
          <a:ext cx="678811" cy="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164823</xdr:colOff>
      <xdr:row>75</xdr:row>
      <xdr:rowOff>31058</xdr:rowOff>
    </xdr:from>
    <xdr:to>
      <xdr:col>41</xdr:col>
      <xdr:colOff>164824</xdr:colOff>
      <xdr:row>92</xdr:row>
      <xdr:rowOff>193397</xdr:rowOff>
    </xdr:to>
    <xdr:sp macro="" textlink="">
      <xdr:nvSpPr>
        <xdr:cNvPr id="14" name="TextBox 13">
          <a:extLst>
            <a:ext uri="{FF2B5EF4-FFF2-40B4-BE49-F238E27FC236}">
              <a16:creationId xmlns:a16="http://schemas.microsoft.com/office/drawing/2014/main" id="{A47B67FB-562C-B25A-DFB9-1BA5A2F568D9}"/>
            </a:ext>
          </a:extLst>
        </xdr:cNvPr>
        <xdr:cNvSpPr txBox="1"/>
      </xdr:nvSpPr>
      <xdr:spPr>
        <a:xfrm>
          <a:off x="345798" y="17176058"/>
          <a:ext cx="7239001" cy="4048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effectLst/>
            </a:rPr>
            <a:t>IEEE Support &amp; Justification:</a:t>
          </a:r>
          <a:br>
            <a:rPr lang="en-US" b="1">
              <a:effectLst/>
            </a:rPr>
          </a:br>
          <a:endParaRPr lang="en-US">
            <a:effectLst/>
          </a:endParaRPr>
        </a:p>
        <a:p>
          <a:pPr lvl="1"/>
          <a:r>
            <a:rPr lang="en-US" sz="1100" b="1" i="0">
              <a:solidFill>
                <a:schemeClr val="dk1"/>
              </a:solidFill>
              <a:effectLst/>
              <a:latin typeface="+mn-lt"/>
              <a:ea typeface="+mn-ea"/>
              <a:cs typeface="+mn-cs"/>
            </a:rPr>
            <a:t>IEEE C37.010, Section 3.2.2 (Applications at altitudes above 1000 m):</a:t>
          </a:r>
          <a:r>
            <a:rPr lang="en-US" sz="1100" b="0" i="0">
              <a:solidFill>
                <a:schemeClr val="dk1"/>
              </a:solidFill>
              <a:effectLst/>
              <a:latin typeface="+mn-lt"/>
              <a:ea typeface="+mn-ea"/>
              <a:cs typeface="+mn-cs"/>
            </a:rPr>
            <a:t> Directly challenges the practice of blind upsizing, stating: </a:t>
          </a:r>
          <a:r>
            <a:rPr lang="en-US" sz="1100" b="0" i="1">
              <a:solidFill>
                <a:schemeClr val="dk1"/>
              </a:solidFill>
              <a:effectLst/>
              <a:latin typeface="+mn-lt"/>
              <a:ea typeface="+mn-ea"/>
              <a:cs typeface="+mn-cs"/>
            </a:rPr>
            <a:t>"Derating the breaker’s dielectric capabilities is not always necessary and usually not the most economical approach... If at least a 20% margin exists between the arrester protective level and the breaker basic lightning impulse insulation level (BIL), no derating should be necessary."</a:t>
          </a:r>
          <a:br>
            <a:rPr lang="en-US" sz="1100" b="0" i="1">
              <a:solidFill>
                <a:schemeClr val="dk1"/>
              </a:solidFill>
              <a:effectLst/>
              <a:latin typeface="+mn-lt"/>
              <a:ea typeface="+mn-ea"/>
              <a:cs typeface="+mn-cs"/>
            </a:rPr>
          </a:br>
          <a:endParaRPr lang="en-US" sz="1100" b="0" i="0">
            <a:solidFill>
              <a:schemeClr val="dk1"/>
            </a:solidFill>
            <a:effectLst/>
            <a:latin typeface="+mn-lt"/>
            <a:ea typeface="+mn-ea"/>
            <a:cs typeface="+mn-cs"/>
          </a:endParaRPr>
        </a:p>
        <a:p>
          <a:pPr lvl="1"/>
          <a:r>
            <a:rPr lang="en-US" sz="1100" b="1" i="0">
              <a:solidFill>
                <a:schemeClr val="dk1"/>
              </a:solidFill>
              <a:effectLst/>
              <a:latin typeface="+mn-lt"/>
              <a:ea typeface="+mn-ea"/>
              <a:cs typeface="+mn-cs"/>
            </a:rPr>
            <a:t>IEEE C37.20.2, Section 8.1.3 &amp; IEEE C37.20.3, Section 8.1.4 (Application at unusual altitudes):</a:t>
          </a:r>
          <a:r>
            <a:rPr lang="en-US" sz="1100" b="0" i="0">
              <a:solidFill>
                <a:schemeClr val="dk1"/>
              </a:solidFill>
              <a:effectLst/>
              <a:latin typeface="+mn-lt"/>
              <a:ea typeface="+mn-ea"/>
              <a:cs typeface="+mn-cs"/>
            </a:rPr>
            <a:t> Explicitly mandate this mitigation strategy for metal-enclosed switchgear, stating: </a:t>
          </a:r>
          <a:r>
            <a:rPr lang="en-US" sz="1100" b="0" i="1">
              <a:solidFill>
                <a:schemeClr val="dk1"/>
              </a:solidFill>
              <a:effectLst/>
              <a:latin typeface="+mn-lt"/>
              <a:ea typeface="+mn-ea"/>
              <a:cs typeface="+mn-cs"/>
            </a:rPr>
            <a:t>"For applications above 1000 m (3300 ft), the use of surge arresters on each circuit selected to keep transient voltages below the reduced levels should be considered."</a:t>
          </a:r>
          <a:endParaRPr lang="en-US" sz="1100" b="0" i="0">
            <a:solidFill>
              <a:schemeClr val="dk1"/>
            </a:solidFill>
            <a:effectLst/>
            <a:latin typeface="+mn-lt"/>
            <a:ea typeface="+mn-ea"/>
            <a:cs typeface="+mn-cs"/>
          </a:endParaRPr>
        </a:p>
        <a:p>
          <a:br>
            <a:rPr lang="en-US" b="1">
              <a:effectLst/>
            </a:rPr>
          </a:br>
          <a:r>
            <a:rPr lang="en-US" b="1">
              <a:effectLst/>
            </a:rPr>
            <a:t>IEC Support &amp; Justification:</a:t>
          </a:r>
          <a:endParaRPr lang="en-US">
            <a:effectLst/>
          </a:endParaRPr>
        </a:p>
        <a:p>
          <a:pPr lvl="1"/>
          <a:br>
            <a:rPr lang="en-US" sz="1100" b="1" i="0">
              <a:solidFill>
                <a:schemeClr val="dk1"/>
              </a:solidFill>
              <a:effectLst/>
              <a:latin typeface="+mn-lt"/>
              <a:ea typeface="+mn-ea"/>
              <a:cs typeface="+mn-cs"/>
            </a:rPr>
          </a:br>
          <a:r>
            <a:rPr lang="en-US" sz="1100" b="1" i="0">
              <a:solidFill>
                <a:schemeClr val="dk1"/>
              </a:solidFill>
              <a:effectLst/>
              <a:latin typeface="+mn-lt"/>
              <a:ea typeface="+mn-ea"/>
              <a:cs typeface="+mn-cs"/>
            </a:rPr>
            <a:t>IEC TR 62271-306, Section 4.5.1.2 (Examples of application of the altitude correction factor):</a:t>
          </a:r>
          <a:r>
            <a:rPr lang="en-US" sz="1100" b="0" i="0">
              <a:solidFill>
                <a:schemeClr val="dk1"/>
              </a:solidFill>
              <a:effectLst/>
              <a:latin typeface="+mn-lt"/>
              <a:ea typeface="+mn-ea"/>
              <a:cs typeface="+mn-cs"/>
            </a:rPr>
            <a:t> Specifically concludes an altitude derating example by validating the use of arresters: </a:t>
          </a:r>
          <a:r>
            <a:rPr lang="en-US" sz="1100" b="0" i="1">
              <a:solidFill>
                <a:schemeClr val="dk1"/>
              </a:solidFill>
              <a:effectLst/>
              <a:latin typeface="+mn-lt"/>
              <a:ea typeface="+mn-ea"/>
              <a:cs typeface="+mn-cs"/>
            </a:rPr>
            <a:t>"Application of surge arresters with the intent to lower the insulation level of the substation may result in a more advantageous choice of equipment."</a:t>
          </a:r>
          <a:endParaRPr lang="en-US" sz="1100" b="0" i="0">
            <a:solidFill>
              <a:schemeClr val="dk1"/>
            </a:solidFill>
            <a:effectLst/>
            <a:latin typeface="+mn-lt"/>
            <a:ea typeface="+mn-ea"/>
            <a:cs typeface="+mn-cs"/>
          </a:endParaRPr>
        </a:p>
        <a:p>
          <a:pPr lvl="1"/>
          <a:br>
            <a:rPr lang="en-US" sz="1100" b="1" i="0">
              <a:solidFill>
                <a:schemeClr val="dk1"/>
              </a:solidFill>
              <a:effectLst/>
              <a:latin typeface="+mn-lt"/>
              <a:ea typeface="+mn-ea"/>
              <a:cs typeface="+mn-cs"/>
            </a:rPr>
          </a:br>
          <a:r>
            <a:rPr lang="en-US" sz="1100" b="1" i="0">
              <a:solidFill>
                <a:schemeClr val="dk1"/>
              </a:solidFill>
              <a:effectLst/>
              <a:latin typeface="+mn-lt"/>
              <a:ea typeface="+mn-ea"/>
              <a:cs typeface="+mn-cs"/>
            </a:rPr>
            <a:t>IEC 60694, Section 4.2 &amp; IEC 60871-1, Section 18.1 (Rated insulation level):</a:t>
          </a:r>
          <a:r>
            <a:rPr lang="en-US" sz="1100" b="0" i="0">
              <a:solidFill>
                <a:schemeClr val="dk1"/>
              </a:solidFill>
              <a:effectLst/>
              <a:latin typeface="+mn-lt"/>
              <a:ea typeface="+mn-ea"/>
              <a:cs typeface="+mn-cs"/>
            </a:rPr>
            <a:t> Confirms that multiple insulation levels exist for a given system voltage and that the final selection must purposefully account for </a:t>
          </a:r>
          <a:r>
            <a:rPr lang="en-US" sz="1100" b="0" i="1">
              <a:solidFill>
                <a:schemeClr val="dk1"/>
              </a:solidFill>
              <a:effectLst/>
              <a:latin typeface="+mn-lt"/>
              <a:ea typeface="+mn-ea"/>
              <a:cs typeface="+mn-cs"/>
            </a:rPr>
            <a:t>"the type of overvoltage limiting devices"</a:t>
          </a:r>
          <a:r>
            <a:rPr lang="en-US" sz="1100" b="0" i="0">
              <a:solidFill>
                <a:schemeClr val="dk1"/>
              </a:solidFill>
              <a:effectLst/>
              <a:latin typeface="+mn-lt"/>
              <a:ea typeface="+mn-ea"/>
              <a:cs typeface="+mn-cs"/>
            </a:rPr>
            <a:t> utilized in the system.</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2F47EA80-9C8E-4852-BFC9-71170FC69F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3" name="Picture 2">
          <a:extLst>
            <a:ext uri="{FF2B5EF4-FFF2-40B4-BE49-F238E27FC236}">
              <a16:creationId xmlns:a16="http://schemas.microsoft.com/office/drawing/2014/main" id="{909BDB62-F139-4473-986F-F84BF969CE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4" name="Picture 3">
          <a:extLst>
            <a:ext uri="{FF2B5EF4-FFF2-40B4-BE49-F238E27FC236}">
              <a16:creationId xmlns:a16="http://schemas.microsoft.com/office/drawing/2014/main" id="{164B8D1D-BECD-45E0-9053-B779E94C2A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twoCellAnchor>
    <xdr:from>
      <xdr:col>1</xdr:col>
      <xdr:colOff>115955</xdr:colOff>
      <xdr:row>10</xdr:row>
      <xdr:rowOff>132523</xdr:rowOff>
    </xdr:from>
    <xdr:to>
      <xdr:col>40</xdr:col>
      <xdr:colOff>173933</xdr:colOff>
      <xdr:row>32</xdr:row>
      <xdr:rowOff>41414</xdr:rowOff>
    </xdr:to>
    <xdr:sp macro="" textlink="">
      <xdr:nvSpPr>
        <xdr:cNvPr id="5" name="TextBox 4">
          <a:extLst>
            <a:ext uri="{FF2B5EF4-FFF2-40B4-BE49-F238E27FC236}">
              <a16:creationId xmlns:a16="http://schemas.microsoft.com/office/drawing/2014/main" id="{8C616A67-1DB5-DCAE-A46A-AD32D16AF84A}"/>
            </a:ext>
          </a:extLst>
        </xdr:cNvPr>
        <xdr:cNvSpPr txBox="1"/>
      </xdr:nvSpPr>
      <xdr:spPr>
        <a:xfrm>
          <a:off x="298172" y="2451653"/>
          <a:ext cx="7164457" cy="50109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The VarStec Design Advantage </a:t>
          </a:r>
        </a:p>
        <a:p>
          <a:r>
            <a:rPr lang="en-US" sz="1100"/>
            <a:t>VarStec surge arrester applications within their metal-enclosed capacitor banks and harmonic filter banks strive for less than 1 foot (0.3 meters) of total lead length. By doing so, VarStec is able to maximize the benefits of the voltage clamping capability of the surge arrester. This highly optimized, low-inductance design practice is utilized at both the incoming connections of the VarStec equipment and, where switching transients are of concern, directly at the switching device.</a:t>
          </a:r>
        </a:p>
        <a:p>
          <a:endParaRPr lang="en-US" sz="1100"/>
        </a:p>
        <a:p>
          <a:r>
            <a:rPr lang="en-US" sz="1100"/>
            <a:t>The length of the connecting lead wires (both line side and load side of the surge arrester) is one of the most critical factors in evaluating insulation coordination. During a fast-rising surge event, the high rate-of-rise of the surge current passing through the natural inductance of the connecting wires produces a significant inductive voltage drop. This inductive voltage drop adds directly to the arrester's inherent discharge clamping voltage, increasing the total voltage stress imposed on the protected equipment. Accurately calculating this total lead length is essential, but minimizing it is paramount; even with the highest-performing surge arrester, equipment will not be adequately protected if the connecting leads are too long.</a:t>
          </a:r>
        </a:p>
        <a:p>
          <a:endParaRPr lang="en-US" sz="1100"/>
        </a:p>
        <a:p>
          <a:r>
            <a:rPr lang="en-US" sz="1100" b="1"/>
            <a:t>Standard References for Lead Length Definitions</a:t>
          </a:r>
        </a:p>
        <a:p>
          <a:r>
            <a:rPr lang="en-US" sz="1100"/>
            <a:t>For detailed guidelines on defining, measuring, and calculating the inductive effects of arrester lead lengths and separation distances, refer to the following governing standards:</a:t>
          </a:r>
        </a:p>
        <a:p>
          <a:endParaRPr lang="en-US" sz="1100"/>
        </a:p>
        <a:p>
          <a:pPr lvl="1"/>
          <a:r>
            <a:rPr lang="en-US" sz="1100" b="1"/>
            <a:t>IEEE C62.22: </a:t>
          </a:r>
          <a:r>
            <a:rPr lang="en-US" sz="1100"/>
            <a:t>Section 6.6.1 explicitly details the calculation for the inductive voltage drop across connecting lead wires, noting that the total length must be measured from the line connection down to the interconnection with the equipment ground lead. Furthermore, Annex C (Figure C.1 and Section C.3) provides specific calculation models and diagrams defining the total surge arrester lead length as the sum of the line lead and ground lead (d=d′+d′′).</a:t>
          </a:r>
        </a:p>
        <a:p>
          <a:pPr lvl="1"/>
          <a:endParaRPr lang="en-US" sz="1100"/>
        </a:p>
        <a:p>
          <a:pPr lvl="1"/>
          <a:r>
            <a:rPr lang="en-US" sz="1100" b="1"/>
            <a:t>IEC 60071-2: </a:t>
          </a:r>
          <a:r>
            <a:rPr lang="en-US" sz="1100"/>
            <a:t>Section 2.3.4.5 explicitly notes that overvoltage stress increases above the arrester's protective level as separation distance increases. Figure 3 provides a detailed diagram for the "surge arrester connection to the protected object," defining the specific geometry for the line lead (a1), the earth lead (a2), and the separation distance between the arrester and the protected equipment (a3)</a:t>
          </a:r>
        </a:p>
        <a:p>
          <a:endParaRPr lang="en-US" sz="1100"/>
        </a:p>
      </xdr:txBody>
    </xdr:sp>
    <xdr:clientData/>
  </xdr:twoCellAnchor>
  <xdr:twoCellAnchor editAs="oneCell">
    <xdr:from>
      <xdr:col>43</xdr:col>
      <xdr:colOff>182216</xdr:colOff>
      <xdr:row>7</xdr:row>
      <xdr:rowOff>190503</xdr:rowOff>
    </xdr:from>
    <xdr:to>
      <xdr:col>83</xdr:col>
      <xdr:colOff>19215</xdr:colOff>
      <xdr:row>36</xdr:row>
      <xdr:rowOff>200139</xdr:rowOff>
    </xdr:to>
    <xdr:pic>
      <xdr:nvPicPr>
        <xdr:cNvPr id="6" name="Picture 5">
          <a:extLst>
            <a:ext uri="{FF2B5EF4-FFF2-40B4-BE49-F238E27FC236}">
              <a16:creationId xmlns:a16="http://schemas.microsoft.com/office/drawing/2014/main" id="{D01C9DFA-D6CA-DE85-CD1D-6D2BD0A7646D}"/>
            </a:ext>
          </a:extLst>
        </xdr:cNvPr>
        <xdr:cNvPicPr>
          <a:picLocks noChangeAspect="1"/>
        </xdr:cNvPicPr>
      </xdr:nvPicPr>
      <xdr:blipFill>
        <a:blip xmlns:r="http://schemas.openxmlformats.org/officeDocument/2006/relationships" r:embed="rId3"/>
        <a:stretch>
          <a:fillRect/>
        </a:stretch>
      </xdr:blipFill>
      <xdr:spPr>
        <a:xfrm>
          <a:off x="8017564" y="1813894"/>
          <a:ext cx="7125694" cy="6735115"/>
        </a:xfrm>
        <a:prstGeom prst="rect">
          <a:avLst/>
        </a:prstGeom>
      </xdr:spPr>
    </xdr:pic>
    <xdr:clientData/>
  </xdr:twoCellAnchor>
  <xdr:twoCellAnchor editAs="oneCell">
    <xdr:from>
      <xdr:col>43</xdr:col>
      <xdr:colOff>132521</xdr:colOff>
      <xdr:row>5</xdr:row>
      <xdr:rowOff>33132</xdr:rowOff>
    </xdr:from>
    <xdr:to>
      <xdr:col>75</xdr:col>
      <xdr:colOff>74521</xdr:colOff>
      <xdr:row>7</xdr:row>
      <xdr:rowOff>159938</xdr:rowOff>
    </xdr:to>
    <xdr:pic>
      <xdr:nvPicPr>
        <xdr:cNvPr id="7" name="Picture 6">
          <a:extLst>
            <a:ext uri="{FF2B5EF4-FFF2-40B4-BE49-F238E27FC236}">
              <a16:creationId xmlns:a16="http://schemas.microsoft.com/office/drawing/2014/main" id="{FBE1C7DA-9378-26CB-ABA1-8FDFE2311146}"/>
            </a:ext>
          </a:extLst>
        </xdr:cNvPr>
        <xdr:cNvPicPr>
          <a:picLocks noChangeAspect="1"/>
        </xdr:cNvPicPr>
      </xdr:nvPicPr>
      <xdr:blipFill>
        <a:blip xmlns:r="http://schemas.openxmlformats.org/officeDocument/2006/relationships" r:embed="rId4"/>
        <a:stretch>
          <a:fillRect/>
        </a:stretch>
      </xdr:blipFill>
      <xdr:spPr>
        <a:xfrm>
          <a:off x="7967869" y="1192697"/>
          <a:ext cx="5772956" cy="590632"/>
        </a:xfrm>
        <a:prstGeom prst="rect">
          <a:avLst/>
        </a:prstGeom>
      </xdr:spPr>
    </xdr:pic>
    <xdr:clientData/>
  </xdr:twoCellAnchor>
  <xdr:twoCellAnchor editAs="oneCell">
    <xdr:from>
      <xdr:col>44</xdr:col>
      <xdr:colOff>57978</xdr:colOff>
      <xdr:row>37</xdr:row>
      <xdr:rowOff>33130</xdr:rowOff>
    </xdr:from>
    <xdr:to>
      <xdr:col>82</xdr:col>
      <xdr:colOff>135569</xdr:colOff>
      <xdr:row>45</xdr:row>
      <xdr:rowOff>197408</xdr:rowOff>
    </xdr:to>
    <xdr:pic>
      <xdr:nvPicPr>
        <xdr:cNvPr id="9" name="Picture 8">
          <a:extLst>
            <a:ext uri="{FF2B5EF4-FFF2-40B4-BE49-F238E27FC236}">
              <a16:creationId xmlns:a16="http://schemas.microsoft.com/office/drawing/2014/main" id="{3D2DF37E-4B91-99FA-CB8D-21C1E66AC79B}"/>
            </a:ext>
          </a:extLst>
        </xdr:cNvPr>
        <xdr:cNvPicPr>
          <a:picLocks noChangeAspect="1"/>
        </xdr:cNvPicPr>
      </xdr:nvPicPr>
      <xdr:blipFill>
        <a:blip xmlns:r="http://schemas.openxmlformats.org/officeDocument/2006/relationships" r:embed="rId5"/>
        <a:stretch>
          <a:fillRect/>
        </a:stretch>
      </xdr:blipFill>
      <xdr:spPr>
        <a:xfrm>
          <a:off x="8075543" y="8613913"/>
          <a:ext cx="7001852" cy="2019582"/>
        </a:xfrm>
        <a:prstGeom prst="rect">
          <a:avLst/>
        </a:prstGeom>
      </xdr:spPr>
    </xdr:pic>
    <xdr:clientData/>
  </xdr:twoCellAnchor>
  <xdr:oneCellAnchor>
    <xdr:from>
      <xdr:col>74</xdr:col>
      <xdr:colOff>19049</xdr:colOff>
      <xdr:row>50</xdr:row>
      <xdr:rowOff>73956</xdr:rowOff>
    </xdr:from>
    <xdr:ext cx="1638301" cy="819151"/>
    <xdr:pic>
      <xdr:nvPicPr>
        <xdr:cNvPr id="10" name="Picture 9">
          <a:extLst>
            <a:ext uri="{FF2B5EF4-FFF2-40B4-BE49-F238E27FC236}">
              <a16:creationId xmlns:a16="http://schemas.microsoft.com/office/drawing/2014/main" id="{17B6B8EA-0BC2-41ED-8D63-609631E30E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503136" y="305869"/>
          <a:ext cx="1638301" cy="819151"/>
        </a:xfrm>
        <a:prstGeom prst="rect">
          <a:avLst/>
        </a:prstGeom>
      </xdr:spPr>
    </xdr:pic>
    <xdr:clientData/>
  </xdr:oneCellAnchor>
  <xdr:twoCellAnchor editAs="oneCell">
    <xdr:from>
      <xdr:col>2</xdr:col>
      <xdr:colOff>16567</xdr:colOff>
      <xdr:row>55</xdr:row>
      <xdr:rowOff>43200</xdr:rowOff>
    </xdr:from>
    <xdr:to>
      <xdr:col>40</xdr:col>
      <xdr:colOff>165652</xdr:colOff>
      <xdr:row>62</xdr:row>
      <xdr:rowOff>134558</xdr:rowOff>
    </xdr:to>
    <xdr:pic>
      <xdr:nvPicPr>
        <xdr:cNvPr id="14" name="Picture 13">
          <a:extLst>
            <a:ext uri="{FF2B5EF4-FFF2-40B4-BE49-F238E27FC236}">
              <a16:creationId xmlns:a16="http://schemas.microsoft.com/office/drawing/2014/main" id="{3FA905D5-F4FD-8AF4-DB1A-C6D49DE7CA18}"/>
            </a:ext>
          </a:extLst>
        </xdr:cNvPr>
        <xdr:cNvPicPr>
          <a:picLocks noChangeAspect="1"/>
        </xdr:cNvPicPr>
      </xdr:nvPicPr>
      <xdr:blipFill>
        <a:blip xmlns:r="http://schemas.openxmlformats.org/officeDocument/2006/relationships" r:embed="rId6"/>
        <a:stretch>
          <a:fillRect/>
        </a:stretch>
      </xdr:blipFill>
      <xdr:spPr>
        <a:xfrm>
          <a:off x="381002" y="12798417"/>
          <a:ext cx="7073346" cy="1714750"/>
        </a:xfrm>
        <a:prstGeom prst="rect">
          <a:avLst/>
        </a:prstGeom>
      </xdr:spPr>
    </xdr:pic>
    <xdr:clientData/>
  </xdr:twoCellAnchor>
  <xdr:twoCellAnchor editAs="oneCell">
    <xdr:from>
      <xdr:col>2</xdr:col>
      <xdr:colOff>24847</xdr:colOff>
      <xdr:row>62</xdr:row>
      <xdr:rowOff>149086</xdr:rowOff>
    </xdr:from>
    <xdr:to>
      <xdr:col>40</xdr:col>
      <xdr:colOff>147399</xdr:colOff>
      <xdr:row>86</xdr:row>
      <xdr:rowOff>79231</xdr:rowOff>
    </xdr:to>
    <xdr:pic>
      <xdr:nvPicPr>
        <xdr:cNvPr id="15" name="Picture 14">
          <a:extLst>
            <a:ext uri="{FF2B5EF4-FFF2-40B4-BE49-F238E27FC236}">
              <a16:creationId xmlns:a16="http://schemas.microsoft.com/office/drawing/2014/main" id="{BFF37CE6-270A-0C49-850E-2800DEF98DDD}"/>
            </a:ext>
          </a:extLst>
        </xdr:cNvPr>
        <xdr:cNvPicPr>
          <a:picLocks noChangeAspect="1"/>
        </xdr:cNvPicPr>
      </xdr:nvPicPr>
      <xdr:blipFill>
        <a:blip xmlns:r="http://schemas.openxmlformats.org/officeDocument/2006/relationships" r:embed="rId7"/>
        <a:stretch>
          <a:fillRect/>
        </a:stretch>
      </xdr:blipFill>
      <xdr:spPr>
        <a:xfrm>
          <a:off x="389282" y="14527695"/>
          <a:ext cx="7046813" cy="5496058"/>
        </a:xfrm>
        <a:prstGeom prst="rect">
          <a:avLst/>
        </a:prstGeom>
      </xdr:spPr>
    </xdr:pic>
    <xdr:clientData/>
  </xdr:twoCellAnchor>
  <xdr:twoCellAnchor editAs="oneCell">
    <xdr:from>
      <xdr:col>44</xdr:col>
      <xdr:colOff>17807</xdr:colOff>
      <xdr:row>54</xdr:row>
      <xdr:rowOff>132289</xdr:rowOff>
    </xdr:from>
    <xdr:to>
      <xdr:col>82</xdr:col>
      <xdr:colOff>19050</xdr:colOff>
      <xdr:row>62</xdr:row>
      <xdr:rowOff>74953</xdr:rowOff>
    </xdr:to>
    <xdr:pic>
      <xdr:nvPicPr>
        <xdr:cNvPr id="16" name="Picture 15">
          <a:extLst>
            <a:ext uri="{FF2B5EF4-FFF2-40B4-BE49-F238E27FC236}">
              <a16:creationId xmlns:a16="http://schemas.microsoft.com/office/drawing/2014/main" id="{D61E8B96-C327-1273-2443-651BE288F52F}"/>
            </a:ext>
          </a:extLst>
        </xdr:cNvPr>
        <xdr:cNvPicPr>
          <a:picLocks noChangeAspect="1"/>
        </xdr:cNvPicPr>
      </xdr:nvPicPr>
      <xdr:blipFill>
        <a:blip xmlns:r="http://schemas.openxmlformats.org/officeDocument/2006/relationships" r:embed="rId8"/>
        <a:stretch>
          <a:fillRect/>
        </a:stretch>
      </xdr:blipFill>
      <xdr:spPr>
        <a:xfrm>
          <a:off x="7980707" y="12476689"/>
          <a:ext cx="6878293" cy="1771464"/>
        </a:xfrm>
        <a:prstGeom prst="rect">
          <a:avLst/>
        </a:prstGeom>
      </xdr:spPr>
    </xdr:pic>
    <xdr:clientData/>
  </xdr:twoCellAnchor>
  <xdr:twoCellAnchor editAs="oneCell">
    <xdr:from>
      <xdr:col>44</xdr:col>
      <xdr:colOff>47397</xdr:colOff>
      <xdr:row>62</xdr:row>
      <xdr:rowOff>83303</xdr:rowOff>
    </xdr:from>
    <xdr:to>
      <xdr:col>81</xdr:col>
      <xdr:colOff>142875</xdr:colOff>
      <xdr:row>72</xdr:row>
      <xdr:rowOff>152400</xdr:rowOff>
    </xdr:to>
    <xdr:pic>
      <xdr:nvPicPr>
        <xdr:cNvPr id="17" name="Picture 16">
          <a:extLst>
            <a:ext uri="{FF2B5EF4-FFF2-40B4-BE49-F238E27FC236}">
              <a16:creationId xmlns:a16="http://schemas.microsoft.com/office/drawing/2014/main" id="{3E33CA8F-DB67-5A41-30D7-8DD6E5BB9315}"/>
            </a:ext>
          </a:extLst>
        </xdr:cNvPr>
        <xdr:cNvPicPr>
          <a:picLocks noChangeAspect="1"/>
        </xdr:cNvPicPr>
      </xdr:nvPicPr>
      <xdr:blipFill rotWithShape="1">
        <a:blip xmlns:r="http://schemas.openxmlformats.org/officeDocument/2006/relationships" r:embed="rId9"/>
        <a:srcRect l="1155"/>
        <a:stretch>
          <a:fillRect/>
        </a:stretch>
      </xdr:blipFill>
      <xdr:spPr>
        <a:xfrm>
          <a:off x="8010297" y="14256503"/>
          <a:ext cx="6791553" cy="2355097"/>
        </a:xfrm>
        <a:prstGeom prst="rect">
          <a:avLst/>
        </a:prstGeom>
      </xdr:spPr>
    </xdr:pic>
    <xdr:clientData/>
  </xdr:twoCellAnchor>
  <xdr:twoCellAnchor editAs="oneCell">
    <xdr:from>
      <xdr:col>44</xdr:col>
      <xdr:colOff>0</xdr:colOff>
      <xdr:row>72</xdr:row>
      <xdr:rowOff>114108</xdr:rowOff>
    </xdr:from>
    <xdr:to>
      <xdr:col>81</xdr:col>
      <xdr:colOff>171450</xdr:colOff>
      <xdr:row>78</xdr:row>
      <xdr:rowOff>124140</xdr:rowOff>
    </xdr:to>
    <xdr:pic>
      <xdr:nvPicPr>
        <xdr:cNvPr id="18" name="Picture 17">
          <a:extLst>
            <a:ext uri="{FF2B5EF4-FFF2-40B4-BE49-F238E27FC236}">
              <a16:creationId xmlns:a16="http://schemas.microsoft.com/office/drawing/2014/main" id="{DB5AE4B5-47C7-AC13-AA72-114F2DD5A786}"/>
            </a:ext>
          </a:extLst>
        </xdr:cNvPr>
        <xdr:cNvPicPr>
          <a:picLocks noChangeAspect="1"/>
        </xdr:cNvPicPr>
      </xdr:nvPicPr>
      <xdr:blipFill>
        <a:blip xmlns:r="http://schemas.openxmlformats.org/officeDocument/2006/relationships" r:embed="rId10"/>
        <a:stretch>
          <a:fillRect/>
        </a:stretch>
      </xdr:blipFill>
      <xdr:spPr>
        <a:xfrm>
          <a:off x="7962900" y="16573308"/>
          <a:ext cx="6867525" cy="1381632"/>
        </a:xfrm>
        <a:prstGeom prst="rect">
          <a:avLst/>
        </a:prstGeom>
      </xdr:spPr>
    </xdr:pic>
    <xdr:clientData/>
  </xdr:twoCellAnchor>
  <xdr:twoCellAnchor editAs="oneCell">
    <xdr:from>
      <xdr:col>44</xdr:col>
      <xdr:colOff>19050</xdr:colOff>
      <xdr:row>78</xdr:row>
      <xdr:rowOff>142874</xdr:rowOff>
    </xdr:from>
    <xdr:to>
      <xdr:col>82</xdr:col>
      <xdr:colOff>84891</xdr:colOff>
      <xdr:row>89</xdr:row>
      <xdr:rowOff>200597</xdr:rowOff>
    </xdr:to>
    <xdr:pic>
      <xdr:nvPicPr>
        <xdr:cNvPr id="19" name="Picture 18">
          <a:extLst>
            <a:ext uri="{FF2B5EF4-FFF2-40B4-BE49-F238E27FC236}">
              <a16:creationId xmlns:a16="http://schemas.microsoft.com/office/drawing/2014/main" id="{7DB7234B-93E1-8776-E182-A163EA0F9703}"/>
            </a:ext>
          </a:extLst>
        </xdr:cNvPr>
        <xdr:cNvPicPr>
          <a:picLocks noChangeAspect="1"/>
        </xdr:cNvPicPr>
      </xdr:nvPicPr>
      <xdr:blipFill>
        <a:blip xmlns:r="http://schemas.openxmlformats.org/officeDocument/2006/relationships" r:embed="rId11"/>
        <a:stretch>
          <a:fillRect/>
        </a:stretch>
      </xdr:blipFill>
      <xdr:spPr>
        <a:xfrm>
          <a:off x="7981950" y="17973674"/>
          <a:ext cx="6942891" cy="25723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439062</xdr:colOff>
      <xdr:row>32</xdr:row>
      <xdr:rowOff>19904</xdr:rowOff>
    </xdr:to>
    <xdr:pic>
      <xdr:nvPicPr>
        <xdr:cNvPr id="4" name="Picture 3">
          <a:extLst>
            <a:ext uri="{FF2B5EF4-FFF2-40B4-BE49-F238E27FC236}">
              <a16:creationId xmlns:a16="http://schemas.microsoft.com/office/drawing/2014/main" id="{70595FD4-265F-9912-069A-A74C87F32625}"/>
            </a:ext>
          </a:extLst>
        </xdr:cNvPr>
        <xdr:cNvPicPr>
          <a:picLocks noChangeAspect="1"/>
        </xdr:cNvPicPr>
      </xdr:nvPicPr>
      <xdr:blipFill>
        <a:blip xmlns:r="http://schemas.openxmlformats.org/officeDocument/2006/relationships" r:embed="rId1"/>
        <a:stretch>
          <a:fillRect/>
        </a:stretch>
      </xdr:blipFill>
      <xdr:spPr>
        <a:xfrm>
          <a:off x="0" y="0"/>
          <a:ext cx="6535062" cy="6115904"/>
        </a:xfrm>
        <a:prstGeom prst="rect">
          <a:avLst/>
        </a:prstGeom>
      </xdr:spPr>
    </xdr:pic>
    <xdr:clientData/>
  </xdr:twoCellAnchor>
  <xdr:twoCellAnchor editAs="oneCell">
    <xdr:from>
      <xdr:col>0</xdr:col>
      <xdr:colOff>0</xdr:colOff>
      <xdr:row>32</xdr:row>
      <xdr:rowOff>0</xdr:rowOff>
    </xdr:from>
    <xdr:to>
      <xdr:col>10</xdr:col>
      <xdr:colOff>391430</xdr:colOff>
      <xdr:row>34</xdr:row>
      <xdr:rowOff>181053</xdr:rowOff>
    </xdr:to>
    <xdr:pic>
      <xdr:nvPicPr>
        <xdr:cNvPr id="5" name="Picture 4">
          <a:extLst>
            <a:ext uri="{FF2B5EF4-FFF2-40B4-BE49-F238E27FC236}">
              <a16:creationId xmlns:a16="http://schemas.microsoft.com/office/drawing/2014/main" id="{6BC78FF6-C148-BE27-1347-C7C75FC3B03F}"/>
            </a:ext>
          </a:extLst>
        </xdr:cNvPr>
        <xdr:cNvPicPr>
          <a:picLocks noChangeAspect="1"/>
        </xdr:cNvPicPr>
      </xdr:nvPicPr>
      <xdr:blipFill>
        <a:blip xmlns:r="http://schemas.openxmlformats.org/officeDocument/2006/relationships" r:embed="rId2"/>
        <a:stretch>
          <a:fillRect/>
        </a:stretch>
      </xdr:blipFill>
      <xdr:spPr>
        <a:xfrm>
          <a:off x="0" y="6096000"/>
          <a:ext cx="6487430" cy="562053"/>
        </a:xfrm>
        <a:prstGeom prst="rect">
          <a:avLst/>
        </a:prstGeom>
      </xdr:spPr>
    </xdr:pic>
    <xdr:clientData/>
  </xdr:twoCellAnchor>
  <xdr:twoCellAnchor editAs="oneCell">
    <xdr:from>
      <xdr:col>0</xdr:col>
      <xdr:colOff>0</xdr:colOff>
      <xdr:row>34</xdr:row>
      <xdr:rowOff>152400</xdr:rowOff>
    </xdr:from>
    <xdr:to>
      <xdr:col>10</xdr:col>
      <xdr:colOff>486694</xdr:colOff>
      <xdr:row>38</xdr:row>
      <xdr:rowOff>181085</xdr:rowOff>
    </xdr:to>
    <xdr:pic>
      <xdr:nvPicPr>
        <xdr:cNvPr id="6" name="Picture 5">
          <a:extLst>
            <a:ext uri="{FF2B5EF4-FFF2-40B4-BE49-F238E27FC236}">
              <a16:creationId xmlns:a16="http://schemas.microsoft.com/office/drawing/2014/main" id="{3F96EE1C-7C80-ECE5-CCF3-A9A399946A07}"/>
            </a:ext>
          </a:extLst>
        </xdr:cNvPr>
        <xdr:cNvPicPr>
          <a:picLocks noChangeAspect="1"/>
        </xdr:cNvPicPr>
      </xdr:nvPicPr>
      <xdr:blipFill>
        <a:blip xmlns:r="http://schemas.openxmlformats.org/officeDocument/2006/relationships" r:embed="rId3"/>
        <a:stretch>
          <a:fillRect/>
        </a:stretch>
      </xdr:blipFill>
      <xdr:spPr>
        <a:xfrm>
          <a:off x="0" y="6629400"/>
          <a:ext cx="6582694" cy="790685"/>
        </a:xfrm>
        <a:prstGeom prst="rect">
          <a:avLst/>
        </a:prstGeom>
      </xdr:spPr>
    </xdr:pic>
    <xdr:clientData/>
  </xdr:twoCellAnchor>
  <xdr:twoCellAnchor editAs="oneCell">
    <xdr:from>
      <xdr:col>10</xdr:col>
      <xdr:colOff>424087</xdr:colOff>
      <xdr:row>4</xdr:row>
      <xdr:rowOff>180974</xdr:rowOff>
    </xdr:from>
    <xdr:to>
      <xdr:col>18</xdr:col>
      <xdr:colOff>553594</xdr:colOff>
      <xdr:row>19</xdr:row>
      <xdr:rowOff>143519</xdr:rowOff>
    </xdr:to>
    <xdr:pic>
      <xdr:nvPicPr>
        <xdr:cNvPr id="8" name="Picture 7">
          <a:extLst>
            <a:ext uri="{FF2B5EF4-FFF2-40B4-BE49-F238E27FC236}">
              <a16:creationId xmlns:a16="http://schemas.microsoft.com/office/drawing/2014/main" id="{CB896A70-6C7D-7B6A-4167-C3343563DC3B}"/>
            </a:ext>
          </a:extLst>
        </xdr:cNvPr>
        <xdr:cNvPicPr>
          <a:picLocks noChangeAspect="1"/>
        </xdr:cNvPicPr>
      </xdr:nvPicPr>
      <xdr:blipFill>
        <a:blip xmlns:r="http://schemas.openxmlformats.org/officeDocument/2006/relationships" r:embed="rId4"/>
        <a:stretch>
          <a:fillRect/>
        </a:stretch>
      </xdr:blipFill>
      <xdr:spPr>
        <a:xfrm>
          <a:off x="6520087" y="942974"/>
          <a:ext cx="5006307" cy="2820045"/>
        </a:xfrm>
        <a:prstGeom prst="rect">
          <a:avLst/>
        </a:prstGeom>
      </xdr:spPr>
    </xdr:pic>
    <xdr:clientData/>
  </xdr:twoCellAnchor>
  <xdr:twoCellAnchor editAs="oneCell">
    <xdr:from>
      <xdr:col>10</xdr:col>
      <xdr:colOff>419100</xdr:colOff>
      <xdr:row>0</xdr:row>
      <xdr:rowOff>0</xdr:rowOff>
    </xdr:from>
    <xdr:to>
      <xdr:col>18</xdr:col>
      <xdr:colOff>590550</xdr:colOff>
      <xdr:row>4</xdr:row>
      <xdr:rowOff>177560</xdr:rowOff>
    </xdr:to>
    <xdr:pic>
      <xdr:nvPicPr>
        <xdr:cNvPr id="9" name="Picture 8">
          <a:extLst>
            <a:ext uri="{FF2B5EF4-FFF2-40B4-BE49-F238E27FC236}">
              <a16:creationId xmlns:a16="http://schemas.microsoft.com/office/drawing/2014/main" id="{A84C02EF-1AD0-2701-02C8-DCEE1055A23D}"/>
            </a:ext>
          </a:extLst>
        </xdr:cNvPr>
        <xdr:cNvPicPr>
          <a:picLocks noChangeAspect="1"/>
        </xdr:cNvPicPr>
      </xdr:nvPicPr>
      <xdr:blipFill rotWithShape="1">
        <a:blip xmlns:r="http://schemas.openxmlformats.org/officeDocument/2006/relationships" r:embed="rId5"/>
        <a:srcRect r="32837"/>
        <a:stretch>
          <a:fillRect/>
        </a:stretch>
      </xdr:blipFill>
      <xdr:spPr>
        <a:xfrm>
          <a:off x="6515100" y="0"/>
          <a:ext cx="5048250" cy="939560"/>
        </a:xfrm>
        <a:prstGeom prst="rect">
          <a:avLst/>
        </a:prstGeom>
      </xdr:spPr>
    </xdr:pic>
    <xdr:clientData/>
  </xdr:twoCellAnchor>
  <xdr:twoCellAnchor editAs="oneCell">
    <xdr:from>
      <xdr:col>0</xdr:col>
      <xdr:colOff>0</xdr:colOff>
      <xdr:row>38</xdr:row>
      <xdr:rowOff>171450</xdr:rowOff>
    </xdr:from>
    <xdr:to>
      <xdr:col>22</xdr:col>
      <xdr:colOff>30451</xdr:colOff>
      <xdr:row>71</xdr:row>
      <xdr:rowOff>134222</xdr:rowOff>
    </xdr:to>
    <xdr:pic>
      <xdr:nvPicPr>
        <xdr:cNvPr id="12" name="Picture 11">
          <a:extLst>
            <a:ext uri="{FF2B5EF4-FFF2-40B4-BE49-F238E27FC236}">
              <a16:creationId xmlns:a16="http://schemas.microsoft.com/office/drawing/2014/main" id="{7B63E916-3968-679F-0423-DF1D9F8CE0AD}"/>
            </a:ext>
          </a:extLst>
        </xdr:cNvPr>
        <xdr:cNvPicPr>
          <a:picLocks noChangeAspect="1"/>
        </xdr:cNvPicPr>
      </xdr:nvPicPr>
      <xdr:blipFill>
        <a:blip xmlns:r="http://schemas.openxmlformats.org/officeDocument/2006/relationships" r:embed="rId6"/>
        <a:stretch>
          <a:fillRect/>
        </a:stretch>
      </xdr:blipFill>
      <xdr:spPr>
        <a:xfrm>
          <a:off x="0" y="7410450"/>
          <a:ext cx="13441651" cy="6249272"/>
        </a:xfrm>
        <a:prstGeom prst="rect">
          <a:avLst/>
        </a:prstGeom>
      </xdr:spPr>
    </xdr:pic>
    <xdr:clientData/>
  </xdr:twoCellAnchor>
  <xdr:twoCellAnchor editAs="oneCell">
    <xdr:from>
      <xdr:col>0</xdr:col>
      <xdr:colOff>0</xdr:colOff>
      <xdr:row>71</xdr:row>
      <xdr:rowOff>133350</xdr:rowOff>
    </xdr:from>
    <xdr:to>
      <xdr:col>22</xdr:col>
      <xdr:colOff>20925</xdr:colOff>
      <xdr:row>76</xdr:row>
      <xdr:rowOff>114</xdr:rowOff>
    </xdr:to>
    <xdr:pic>
      <xdr:nvPicPr>
        <xdr:cNvPr id="13" name="Picture 12">
          <a:extLst>
            <a:ext uri="{FF2B5EF4-FFF2-40B4-BE49-F238E27FC236}">
              <a16:creationId xmlns:a16="http://schemas.microsoft.com/office/drawing/2014/main" id="{3277E383-4293-EF6F-36A1-795C4B38EFB3}"/>
            </a:ext>
          </a:extLst>
        </xdr:cNvPr>
        <xdr:cNvPicPr>
          <a:picLocks noChangeAspect="1"/>
        </xdr:cNvPicPr>
      </xdr:nvPicPr>
      <xdr:blipFill>
        <a:blip xmlns:r="http://schemas.openxmlformats.org/officeDocument/2006/relationships" r:embed="rId7"/>
        <a:stretch>
          <a:fillRect/>
        </a:stretch>
      </xdr:blipFill>
      <xdr:spPr>
        <a:xfrm>
          <a:off x="0" y="13658850"/>
          <a:ext cx="13432125" cy="819264"/>
        </a:xfrm>
        <a:prstGeom prst="rect">
          <a:avLst/>
        </a:prstGeom>
      </xdr:spPr>
    </xdr:pic>
    <xdr:clientData/>
  </xdr:twoCellAnchor>
  <xdr:twoCellAnchor editAs="oneCell">
    <xdr:from>
      <xdr:col>0</xdr:col>
      <xdr:colOff>0</xdr:colOff>
      <xdr:row>75</xdr:row>
      <xdr:rowOff>171450</xdr:rowOff>
    </xdr:from>
    <xdr:to>
      <xdr:col>22</xdr:col>
      <xdr:colOff>68556</xdr:colOff>
      <xdr:row>105</xdr:row>
      <xdr:rowOff>57932</xdr:rowOff>
    </xdr:to>
    <xdr:pic>
      <xdr:nvPicPr>
        <xdr:cNvPr id="14" name="Picture 13">
          <a:extLst>
            <a:ext uri="{FF2B5EF4-FFF2-40B4-BE49-F238E27FC236}">
              <a16:creationId xmlns:a16="http://schemas.microsoft.com/office/drawing/2014/main" id="{FBBE0C55-A9EA-C2AB-806C-312E200C6818}"/>
            </a:ext>
          </a:extLst>
        </xdr:cNvPr>
        <xdr:cNvPicPr>
          <a:picLocks noChangeAspect="1"/>
        </xdr:cNvPicPr>
      </xdr:nvPicPr>
      <xdr:blipFill>
        <a:blip xmlns:r="http://schemas.openxmlformats.org/officeDocument/2006/relationships" r:embed="rId8"/>
        <a:stretch>
          <a:fillRect/>
        </a:stretch>
      </xdr:blipFill>
      <xdr:spPr>
        <a:xfrm>
          <a:off x="0" y="14458950"/>
          <a:ext cx="13479756" cy="5601482"/>
        </a:xfrm>
        <a:prstGeom prst="rect">
          <a:avLst/>
        </a:prstGeom>
      </xdr:spPr>
    </xdr:pic>
    <xdr:clientData/>
  </xdr:twoCellAnchor>
  <xdr:twoCellAnchor editAs="oneCell">
    <xdr:from>
      <xdr:col>0</xdr:col>
      <xdr:colOff>123825</xdr:colOff>
      <xdr:row>105</xdr:row>
      <xdr:rowOff>55958</xdr:rowOff>
    </xdr:from>
    <xdr:to>
      <xdr:col>22</xdr:col>
      <xdr:colOff>0</xdr:colOff>
      <xdr:row>128</xdr:row>
      <xdr:rowOff>10142</xdr:rowOff>
    </xdr:to>
    <xdr:pic>
      <xdr:nvPicPr>
        <xdr:cNvPr id="15" name="Picture 14">
          <a:extLst>
            <a:ext uri="{FF2B5EF4-FFF2-40B4-BE49-F238E27FC236}">
              <a16:creationId xmlns:a16="http://schemas.microsoft.com/office/drawing/2014/main" id="{6F6D4B48-DDAA-5037-E43A-560666F3C138}"/>
            </a:ext>
          </a:extLst>
        </xdr:cNvPr>
        <xdr:cNvPicPr>
          <a:picLocks noChangeAspect="1"/>
        </xdr:cNvPicPr>
      </xdr:nvPicPr>
      <xdr:blipFill>
        <a:blip xmlns:r="http://schemas.openxmlformats.org/officeDocument/2006/relationships" r:embed="rId9"/>
        <a:stretch>
          <a:fillRect/>
        </a:stretch>
      </xdr:blipFill>
      <xdr:spPr>
        <a:xfrm>
          <a:off x="123825" y="20058458"/>
          <a:ext cx="13287375" cy="4335684"/>
        </a:xfrm>
        <a:prstGeom prst="rect">
          <a:avLst/>
        </a:prstGeom>
      </xdr:spPr>
    </xdr:pic>
    <xdr:clientData/>
  </xdr:twoCellAnchor>
  <xdr:twoCellAnchor editAs="oneCell">
    <xdr:from>
      <xdr:col>0</xdr:col>
      <xdr:colOff>1</xdr:colOff>
      <xdr:row>128</xdr:row>
      <xdr:rowOff>42102</xdr:rowOff>
    </xdr:from>
    <xdr:to>
      <xdr:col>22</xdr:col>
      <xdr:colOff>19051</xdr:colOff>
      <xdr:row>144</xdr:row>
      <xdr:rowOff>86161</xdr:rowOff>
    </xdr:to>
    <xdr:pic>
      <xdr:nvPicPr>
        <xdr:cNvPr id="16" name="Picture 15">
          <a:extLst>
            <a:ext uri="{FF2B5EF4-FFF2-40B4-BE49-F238E27FC236}">
              <a16:creationId xmlns:a16="http://schemas.microsoft.com/office/drawing/2014/main" id="{0834E9FA-640A-68FB-D748-947E5A8C3ABA}"/>
            </a:ext>
          </a:extLst>
        </xdr:cNvPr>
        <xdr:cNvPicPr>
          <a:picLocks noChangeAspect="1"/>
        </xdr:cNvPicPr>
      </xdr:nvPicPr>
      <xdr:blipFill>
        <a:blip xmlns:r="http://schemas.openxmlformats.org/officeDocument/2006/relationships" r:embed="rId10"/>
        <a:stretch>
          <a:fillRect/>
        </a:stretch>
      </xdr:blipFill>
      <xdr:spPr>
        <a:xfrm>
          <a:off x="1" y="24426102"/>
          <a:ext cx="13430250" cy="3092059"/>
        </a:xfrm>
        <a:prstGeom prst="rect">
          <a:avLst/>
        </a:prstGeom>
      </xdr:spPr>
    </xdr:pic>
    <xdr:clientData/>
  </xdr:twoCellAnchor>
  <xdr:twoCellAnchor editAs="oneCell">
    <xdr:from>
      <xdr:col>0</xdr:col>
      <xdr:colOff>1</xdr:colOff>
      <xdr:row>144</xdr:row>
      <xdr:rowOff>163790</xdr:rowOff>
    </xdr:from>
    <xdr:to>
      <xdr:col>22</xdr:col>
      <xdr:colOff>38101</xdr:colOff>
      <xdr:row>167</xdr:row>
      <xdr:rowOff>57752</xdr:rowOff>
    </xdr:to>
    <xdr:pic>
      <xdr:nvPicPr>
        <xdr:cNvPr id="17" name="Picture 16">
          <a:extLst>
            <a:ext uri="{FF2B5EF4-FFF2-40B4-BE49-F238E27FC236}">
              <a16:creationId xmlns:a16="http://schemas.microsoft.com/office/drawing/2014/main" id="{EA63F550-A156-4682-35BA-CB92D63584F3}"/>
            </a:ext>
          </a:extLst>
        </xdr:cNvPr>
        <xdr:cNvPicPr>
          <a:picLocks noChangeAspect="1"/>
        </xdr:cNvPicPr>
      </xdr:nvPicPr>
      <xdr:blipFill>
        <a:blip xmlns:r="http://schemas.openxmlformats.org/officeDocument/2006/relationships" r:embed="rId11"/>
        <a:stretch>
          <a:fillRect/>
        </a:stretch>
      </xdr:blipFill>
      <xdr:spPr>
        <a:xfrm>
          <a:off x="1" y="27595790"/>
          <a:ext cx="13449300" cy="4275462"/>
        </a:xfrm>
        <a:prstGeom prst="rect">
          <a:avLst/>
        </a:prstGeom>
      </xdr:spPr>
    </xdr:pic>
    <xdr:clientData/>
  </xdr:twoCellAnchor>
  <xdr:twoCellAnchor editAs="oneCell">
    <xdr:from>
      <xdr:col>0</xdr:col>
      <xdr:colOff>0</xdr:colOff>
      <xdr:row>167</xdr:row>
      <xdr:rowOff>58010</xdr:rowOff>
    </xdr:from>
    <xdr:to>
      <xdr:col>22</xdr:col>
      <xdr:colOff>38100</xdr:colOff>
      <xdr:row>188</xdr:row>
      <xdr:rowOff>172054</xdr:rowOff>
    </xdr:to>
    <xdr:pic>
      <xdr:nvPicPr>
        <xdr:cNvPr id="18" name="Picture 17">
          <a:extLst>
            <a:ext uri="{FF2B5EF4-FFF2-40B4-BE49-F238E27FC236}">
              <a16:creationId xmlns:a16="http://schemas.microsoft.com/office/drawing/2014/main" id="{C81F0BFC-2A56-00AB-C29A-22CF775CC288}"/>
            </a:ext>
          </a:extLst>
        </xdr:cNvPr>
        <xdr:cNvPicPr>
          <a:picLocks noChangeAspect="1"/>
        </xdr:cNvPicPr>
      </xdr:nvPicPr>
      <xdr:blipFill>
        <a:blip xmlns:r="http://schemas.openxmlformats.org/officeDocument/2006/relationships" r:embed="rId12"/>
        <a:stretch>
          <a:fillRect/>
        </a:stretch>
      </xdr:blipFill>
      <xdr:spPr>
        <a:xfrm>
          <a:off x="0" y="31871510"/>
          <a:ext cx="13449300" cy="4114544"/>
        </a:xfrm>
        <a:prstGeom prst="rect">
          <a:avLst/>
        </a:prstGeom>
      </xdr:spPr>
    </xdr:pic>
    <xdr:clientData/>
  </xdr:twoCellAnchor>
  <xdr:twoCellAnchor editAs="oneCell">
    <xdr:from>
      <xdr:col>10</xdr:col>
      <xdr:colOff>400050</xdr:colOff>
      <xdr:row>19</xdr:row>
      <xdr:rowOff>180975</xdr:rowOff>
    </xdr:from>
    <xdr:to>
      <xdr:col>21</xdr:col>
      <xdr:colOff>458144</xdr:colOff>
      <xdr:row>33</xdr:row>
      <xdr:rowOff>28926</xdr:rowOff>
    </xdr:to>
    <xdr:pic>
      <xdr:nvPicPr>
        <xdr:cNvPr id="19" name="Picture 18">
          <a:extLst>
            <a:ext uri="{FF2B5EF4-FFF2-40B4-BE49-F238E27FC236}">
              <a16:creationId xmlns:a16="http://schemas.microsoft.com/office/drawing/2014/main" id="{0403D658-5078-3FC2-FB7E-42197794715B}"/>
            </a:ext>
          </a:extLst>
        </xdr:cNvPr>
        <xdr:cNvPicPr>
          <a:picLocks noChangeAspect="1"/>
        </xdr:cNvPicPr>
      </xdr:nvPicPr>
      <xdr:blipFill>
        <a:blip xmlns:r="http://schemas.openxmlformats.org/officeDocument/2006/relationships" r:embed="rId13"/>
        <a:stretch>
          <a:fillRect/>
        </a:stretch>
      </xdr:blipFill>
      <xdr:spPr>
        <a:xfrm>
          <a:off x="6496050" y="3800475"/>
          <a:ext cx="6763694" cy="25149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76200</xdr:rowOff>
    </xdr:from>
    <xdr:to>
      <xdr:col>15</xdr:col>
      <xdr:colOff>277540</xdr:colOff>
      <xdr:row>55</xdr:row>
      <xdr:rowOff>1000</xdr:rowOff>
    </xdr:to>
    <xdr:pic>
      <xdr:nvPicPr>
        <xdr:cNvPr id="2" name="Picture 1">
          <a:extLst>
            <a:ext uri="{FF2B5EF4-FFF2-40B4-BE49-F238E27FC236}">
              <a16:creationId xmlns:a16="http://schemas.microsoft.com/office/drawing/2014/main" id="{428DEA90-E43D-AD42-52FF-469B6C7FEB55}"/>
            </a:ext>
          </a:extLst>
        </xdr:cNvPr>
        <xdr:cNvPicPr>
          <a:picLocks noChangeAspect="1"/>
        </xdr:cNvPicPr>
      </xdr:nvPicPr>
      <xdr:blipFill>
        <a:blip xmlns:r="http://schemas.openxmlformats.org/officeDocument/2006/relationships" r:embed="rId1"/>
        <a:stretch>
          <a:fillRect/>
        </a:stretch>
      </xdr:blipFill>
      <xdr:spPr>
        <a:xfrm>
          <a:off x="0" y="3314700"/>
          <a:ext cx="9421540" cy="7163800"/>
        </a:xfrm>
        <a:prstGeom prst="rect">
          <a:avLst/>
        </a:prstGeom>
      </xdr:spPr>
    </xdr:pic>
    <xdr:clientData/>
  </xdr:twoCellAnchor>
  <xdr:twoCellAnchor editAs="oneCell">
    <xdr:from>
      <xdr:col>0</xdr:col>
      <xdr:colOff>0</xdr:colOff>
      <xdr:row>0</xdr:row>
      <xdr:rowOff>0</xdr:rowOff>
    </xdr:from>
    <xdr:to>
      <xdr:col>15</xdr:col>
      <xdr:colOff>247650</xdr:colOff>
      <xdr:row>17</xdr:row>
      <xdr:rowOff>170393</xdr:rowOff>
    </xdr:to>
    <xdr:pic>
      <xdr:nvPicPr>
        <xdr:cNvPr id="3" name="Picture 2">
          <a:extLst>
            <a:ext uri="{FF2B5EF4-FFF2-40B4-BE49-F238E27FC236}">
              <a16:creationId xmlns:a16="http://schemas.microsoft.com/office/drawing/2014/main" id="{B8C8BDCF-3F08-CFDC-3ED6-CDD3D64FDC2D}"/>
            </a:ext>
          </a:extLst>
        </xdr:cNvPr>
        <xdr:cNvPicPr>
          <a:picLocks noChangeAspect="1"/>
        </xdr:cNvPicPr>
      </xdr:nvPicPr>
      <xdr:blipFill>
        <a:blip xmlns:r="http://schemas.openxmlformats.org/officeDocument/2006/relationships" r:embed="rId2"/>
        <a:stretch>
          <a:fillRect/>
        </a:stretch>
      </xdr:blipFill>
      <xdr:spPr>
        <a:xfrm>
          <a:off x="0" y="0"/>
          <a:ext cx="9391650" cy="3408893"/>
        </a:xfrm>
        <a:prstGeom prst="rect">
          <a:avLst/>
        </a:prstGeom>
      </xdr:spPr>
    </xdr:pic>
    <xdr:clientData/>
  </xdr:twoCellAnchor>
  <xdr:twoCellAnchor editAs="oneCell">
    <xdr:from>
      <xdr:col>15</xdr:col>
      <xdr:colOff>219075</xdr:colOff>
      <xdr:row>11</xdr:row>
      <xdr:rowOff>123825</xdr:rowOff>
    </xdr:from>
    <xdr:to>
      <xdr:col>22</xdr:col>
      <xdr:colOff>76776</xdr:colOff>
      <xdr:row>48</xdr:row>
      <xdr:rowOff>153388</xdr:rowOff>
    </xdr:to>
    <xdr:pic>
      <xdr:nvPicPr>
        <xdr:cNvPr id="4" name="Picture 3">
          <a:extLst>
            <a:ext uri="{FF2B5EF4-FFF2-40B4-BE49-F238E27FC236}">
              <a16:creationId xmlns:a16="http://schemas.microsoft.com/office/drawing/2014/main" id="{8D3723FB-BDF2-1DE1-37B2-F44C0AA73C03}"/>
            </a:ext>
          </a:extLst>
        </xdr:cNvPr>
        <xdr:cNvPicPr>
          <a:picLocks noChangeAspect="1"/>
        </xdr:cNvPicPr>
      </xdr:nvPicPr>
      <xdr:blipFill>
        <a:blip xmlns:r="http://schemas.openxmlformats.org/officeDocument/2006/relationships" r:embed="rId3"/>
        <a:stretch>
          <a:fillRect/>
        </a:stretch>
      </xdr:blipFill>
      <xdr:spPr>
        <a:xfrm>
          <a:off x="9363075" y="2219325"/>
          <a:ext cx="4124901" cy="7078063"/>
        </a:xfrm>
        <a:prstGeom prst="rect">
          <a:avLst/>
        </a:prstGeom>
      </xdr:spPr>
    </xdr:pic>
    <xdr:clientData/>
  </xdr:twoCellAnchor>
  <xdr:twoCellAnchor editAs="oneCell">
    <xdr:from>
      <xdr:col>0</xdr:col>
      <xdr:colOff>9525</xdr:colOff>
      <xdr:row>55</xdr:row>
      <xdr:rowOff>57150</xdr:rowOff>
    </xdr:from>
    <xdr:to>
      <xdr:col>13</xdr:col>
      <xdr:colOff>525053</xdr:colOff>
      <xdr:row>83</xdr:row>
      <xdr:rowOff>115052</xdr:rowOff>
    </xdr:to>
    <xdr:pic>
      <xdr:nvPicPr>
        <xdr:cNvPr id="5" name="Picture 4">
          <a:extLst>
            <a:ext uri="{FF2B5EF4-FFF2-40B4-BE49-F238E27FC236}">
              <a16:creationId xmlns:a16="http://schemas.microsoft.com/office/drawing/2014/main" id="{0E9155DC-BDAD-5E4E-54F6-EE60671589BF}"/>
            </a:ext>
          </a:extLst>
        </xdr:cNvPr>
        <xdr:cNvPicPr>
          <a:picLocks noChangeAspect="1"/>
        </xdr:cNvPicPr>
      </xdr:nvPicPr>
      <xdr:blipFill>
        <a:blip xmlns:r="http://schemas.openxmlformats.org/officeDocument/2006/relationships" r:embed="rId4"/>
        <a:stretch>
          <a:fillRect/>
        </a:stretch>
      </xdr:blipFill>
      <xdr:spPr>
        <a:xfrm>
          <a:off x="9525" y="10534650"/>
          <a:ext cx="8440328" cy="5391902"/>
        </a:xfrm>
        <a:prstGeom prst="rect">
          <a:avLst/>
        </a:prstGeom>
      </xdr:spPr>
    </xdr:pic>
    <xdr:clientData/>
  </xdr:twoCellAnchor>
  <xdr:twoCellAnchor editAs="oneCell">
    <xdr:from>
      <xdr:col>0</xdr:col>
      <xdr:colOff>0</xdr:colOff>
      <xdr:row>84</xdr:row>
      <xdr:rowOff>28575</xdr:rowOff>
    </xdr:from>
    <xdr:to>
      <xdr:col>14</xdr:col>
      <xdr:colOff>43459</xdr:colOff>
      <xdr:row>103</xdr:row>
      <xdr:rowOff>105301</xdr:rowOff>
    </xdr:to>
    <xdr:pic>
      <xdr:nvPicPr>
        <xdr:cNvPr id="6" name="Picture 5">
          <a:extLst>
            <a:ext uri="{FF2B5EF4-FFF2-40B4-BE49-F238E27FC236}">
              <a16:creationId xmlns:a16="http://schemas.microsoft.com/office/drawing/2014/main" id="{4A50ABFF-9B55-84A5-E448-3423A6D3C1C3}"/>
            </a:ext>
          </a:extLst>
        </xdr:cNvPr>
        <xdr:cNvPicPr>
          <a:picLocks noChangeAspect="1"/>
        </xdr:cNvPicPr>
      </xdr:nvPicPr>
      <xdr:blipFill>
        <a:blip xmlns:r="http://schemas.openxmlformats.org/officeDocument/2006/relationships" r:embed="rId5"/>
        <a:stretch>
          <a:fillRect/>
        </a:stretch>
      </xdr:blipFill>
      <xdr:spPr>
        <a:xfrm>
          <a:off x="0" y="16030575"/>
          <a:ext cx="8577859" cy="36962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22</xdr:row>
      <xdr:rowOff>137308</xdr:rowOff>
    </xdr:from>
    <xdr:to>
      <xdr:col>15</xdr:col>
      <xdr:colOff>581025</xdr:colOff>
      <xdr:row>32</xdr:row>
      <xdr:rowOff>114571</xdr:rowOff>
    </xdr:to>
    <xdr:pic>
      <xdr:nvPicPr>
        <xdr:cNvPr id="3" name="Picture 2">
          <a:extLst>
            <a:ext uri="{FF2B5EF4-FFF2-40B4-BE49-F238E27FC236}">
              <a16:creationId xmlns:a16="http://schemas.microsoft.com/office/drawing/2014/main" id="{0D65E549-0D00-119C-9595-BF489FD53CD2}"/>
            </a:ext>
          </a:extLst>
        </xdr:cNvPr>
        <xdr:cNvPicPr>
          <a:picLocks noChangeAspect="1"/>
        </xdr:cNvPicPr>
      </xdr:nvPicPr>
      <xdr:blipFill>
        <a:blip xmlns:r="http://schemas.openxmlformats.org/officeDocument/2006/relationships" r:embed="rId1"/>
        <a:stretch>
          <a:fillRect/>
        </a:stretch>
      </xdr:blipFill>
      <xdr:spPr>
        <a:xfrm>
          <a:off x="0" y="4328308"/>
          <a:ext cx="9725025" cy="1882263"/>
        </a:xfrm>
        <a:prstGeom prst="rect">
          <a:avLst/>
        </a:prstGeom>
      </xdr:spPr>
    </xdr:pic>
    <xdr:clientData/>
  </xdr:twoCellAnchor>
  <xdr:twoCellAnchor editAs="oneCell">
    <xdr:from>
      <xdr:col>0</xdr:col>
      <xdr:colOff>0</xdr:colOff>
      <xdr:row>0</xdr:row>
      <xdr:rowOff>0</xdr:rowOff>
    </xdr:from>
    <xdr:to>
      <xdr:col>15</xdr:col>
      <xdr:colOff>582533</xdr:colOff>
      <xdr:row>22</xdr:row>
      <xdr:rowOff>80440</xdr:rowOff>
    </xdr:to>
    <xdr:pic>
      <xdr:nvPicPr>
        <xdr:cNvPr id="4" name="Picture 3">
          <a:extLst>
            <a:ext uri="{FF2B5EF4-FFF2-40B4-BE49-F238E27FC236}">
              <a16:creationId xmlns:a16="http://schemas.microsoft.com/office/drawing/2014/main" id="{57C2E774-F027-0FC3-08AC-CE17636A4B86}"/>
            </a:ext>
          </a:extLst>
        </xdr:cNvPr>
        <xdr:cNvPicPr>
          <a:picLocks noChangeAspect="1"/>
        </xdr:cNvPicPr>
      </xdr:nvPicPr>
      <xdr:blipFill>
        <a:blip xmlns:r="http://schemas.openxmlformats.org/officeDocument/2006/relationships" r:embed="rId2"/>
        <a:stretch>
          <a:fillRect/>
        </a:stretch>
      </xdr:blipFill>
      <xdr:spPr>
        <a:xfrm>
          <a:off x="0" y="0"/>
          <a:ext cx="9726533" cy="42714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18</xdr:col>
      <xdr:colOff>30108</xdr:colOff>
      <xdr:row>20</xdr:row>
      <xdr:rowOff>86269</xdr:rowOff>
    </xdr:to>
    <xdr:pic>
      <xdr:nvPicPr>
        <xdr:cNvPr id="2" name="Picture 1">
          <a:extLst>
            <a:ext uri="{FF2B5EF4-FFF2-40B4-BE49-F238E27FC236}">
              <a16:creationId xmlns:a16="http://schemas.microsoft.com/office/drawing/2014/main" id="{AE14FB53-28AE-FB87-AFEC-D07363D04A80}"/>
            </a:ext>
          </a:extLst>
        </xdr:cNvPr>
        <xdr:cNvPicPr>
          <a:picLocks noChangeAspect="1"/>
        </xdr:cNvPicPr>
      </xdr:nvPicPr>
      <xdr:blipFill>
        <a:blip xmlns:r="http://schemas.openxmlformats.org/officeDocument/2006/relationships" r:embed="rId1"/>
        <a:stretch>
          <a:fillRect/>
        </a:stretch>
      </xdr:blipFill>
      <xdr:spPr>
        <a:xfrm>
          <a:off x="19050" y="0"/>
          <a:ext cx="10983858" cy="3896269"/>
        </a:xfrm>
        <a:prstGeom prst="rect">
          <a:avLst/>
        </a:prstGeom>
      </xdr:spPr>
    </xdr:pic>
    <xdr:clientData/>
  </xdr:twoCellAnchor>
  <xdr:twoCellAnchor editAs="oneCell">
    <xdr:from>
      <xdr:col>0</xdr:col>
      <xdr:colOff>0</xdr:colOff>
      <xdr:row>20</xdr:row>
      <xdr:rowOff>13677</xdr:rowOff>
    </xdr:from>
    <xdr:to>
      <xdr:col>18</xdr:col>
      <xdr:colOff>0</xdr:colOff>
      <xdr:row>58</xdr:row>
      <xdr:rowOff>96266</xdr:rowOff>
    </xdr:to>
    <xdr:pic>
      <xdr:nvPicPr>
        <xdr:cNvPr id="10" name="Picture 9">
          <a:extLst>
            <a:ext uri="{FF2B5EF4-FFF2-40B4-BE49-F238E27FC236}">
              <a16:creationId xmlns:a16="http://schemas.microsoft.com/office/drawing/2014/main" id="{564D03FA-B1E7-C2FE-EA30-F9435B6A8C34}"/>
            </a:ext>
          </a:extLst>
        </xdr:cNvPr>
        <xdr:cNvPicPr>
          <a:picLocks noChangeAspect="1"/>
        </xdr:cNvPicPr>
      </xdr:nvPicPr>
      <xdr:blipFill>
        <a:blip xmlns:r="http://schemas.openxmlformats.org/officeDocument/2006/relationships" r:embed="rId2"/>
        <a:stretch>
          <a:fillRect/>
        </a:stretch>
      </xdr:blipFill>
      <xdr:spPr>
        <a:xfrm>
          <a:off x="0" y="3823677"/>
          <a:ext cx="10972800" cy="7321589"/>
        </a:xfrm>
        <a:prstGeom prst="rect">
          <a:avLst/>
        </a:prstGeom>
      </xdr:spPr>
    </xdr:pic>
    <xdr:clientData/>
  </xdr:twoCellAnchor>
  <xdr:twoCellAnchor editAs="oneCell">
    <xdr:from>
      <xdr:col>0</xdr:col>
      <xdr:colOff>0</xdr:colOff>
      <xdr:row>58</xdr:row>
      <xdr:rowOff>114300</xdr:rowOff>
    </xdr:from>
    <xdr:to>
      <xdr:col>18</xdr:col>
      <xdr:colOff>58689</xdr:colOff>
      <xdr:row>68</xdr:row>
      <xdr:rowOff>47882</xdr:rowOff>
    </xdr:to>
    <xdr:pic>
      <xdr:nvPicPr>
        <xdr:cNvPr id="11" name="Picture 10">
          <a:extLst>
            <a:ext uri="{FF2B5EF4-FFF2-40B4-BE49-F238E27FC236}">
              <a16:creationId xmlns:a16="http://schemas.microsoft.com/office/drawing/2014/main" id="{A2C4A8F6-AACE-32DF-8AD9-4A53F0B3B393}"/>
            </a:ext>
          </a:extLst>
        </xdr:cNvPr>
        <xdr:cNvPicPr>
          <a:picLocks noChangeAspect="1"/>
        </xdr:cNvPicPr>
      </xdr:nvPicPr>
      <xdr:blipFill>
        <a:blip xmlns:r="http://schemas.openxmlformats.org/officeDocument/2006/relationships" r:embed="rId3"/>
        <a:stretch>
          <a:fillRect/>
        </a:stretch>
      </xdr:blipFill>
      <xdr:spPr>
        <a:xfrm>
          <a:off x="0" y="11163300"/>
          <a:ext cx="11031489" cy="1838582"/>
        </a:xfrm>
        <a:prstGeom prst="rect">
          <a:avLst/>
        </a:prstGeom>
      </xdr:spPr>
    </xdr:pic>
    <xdr:clientData/>
  </xdr:twoCellAnchor>
  <xdr:twoCellAnchor editAs="oneCell">
    <xdr:from>
      <xdr:col>0</xdr:col>
      <xdr:colOff>28575</xdr:colOff>
      <xdr:row>68</xdr:row>
      <xdr:rowOff>57150</xdr:rowOff>
    </xdr:from>
    <xdr:to>
      <xdr:col>18</xdr:col>
      <xdr:colOff>98463</xdr:colOff>
      <xdr:row>76</xdr:row>
      <xdr:rowOff>85725</xdr:rowOff>
    </xdr:to>
    <xdr:pic>
      <xdr:nvPicPr>
        <xdr:cNvPr id="12" name="Picture 11">
          <a:extLst>
            <a:ext uri="{FF2B5EF4-FFF2-40B4-BE49-F238E27FC236}">
              <a16:creationId xmlns:a16="http://schemas.microsoft.com/office/drawing/2014/main" id="{8E70C5C5-741C-FCAC-4AD2-EDA156300ADC}"/>
            </a:ext>
          </a:extLst>
        </xdr:cNvPr>
        <xdr:cNvPicPr>
          <a:picLocks noChangeAspect="1"/>
        </xdr:cNvPicPr>
      </xdr:nvPicPr>
      <xdr:blipFill>
        <a:blip xmlns:r="http://schemas.openxmlformats.org/officeDocument/2006/relationships" r:embed="rId4"/>
        <a:stretch>
          <a:fillRect/>
        </a:stretch>
      </xdr:blipFill>
      <xdr:spPr>
        <a:xfrm>
          <a:off x="28575" y="13011150"/>
          <a:ext cx="11042688" cy="1552575"/>
        </a:xfrm>
        <a:prstGeom prst="rect">
          <a:avLst/>
        </a:prstGeom>
      </xdr:spPr>
    </xdr:pic>
    <xdr:clientData/>
  </xdr:twoCellAnchor>
  <xdr:twoCellAnchor editAs="oneCell">
    <xdr:from>
      <xdr:col>0</xdr:col>
      <xdr:colOff>0</xdr:colOff>
      <xdr:row>76</xdr:row>
      <xdr:rowOff>54069</xdr:rowOff>
    </xdr:from>
    <xdr:to>
      <xdr:col>18</xdr:col>
      <xdr:colOff>238125</xdr:colOff>
      <xdr:row>90</xdr:row>
      <xdr:rowOff>123825</xdr:rowOff>
    </xdr:to>
    <xdr:pic>
      <xdr:nvPicPr>
        <xdr:cNvPr id="13" name="Picture 12">
          <a:extLst>
            <a:ext uri="{FF2B5EF4-FFF2-40B4-BE49-F238E27FC236}">
              <a16:creationId xmlns:a16="http://schemas.microsoft.com/office/drawing/2014/main" id="{56E8D705-42CD-3A39-E7CA-1318723A7232}"/>
            </a:ext>
          </a:extLst>
        </xdr:cNvPr>
        <xdr:cNvPicPr>
          <a:picLocks noChangeAspect="1"/>
        </xdr:cNvPicPr>
      </xdr:nvPicPr>
      <xdr:blipFill>
        <a:blip xmlns:r="http://schemas.openxmlformats.org/officeDocument/2006/relationships" r:embed="rId5"/>
        <a:stretch>
          <a:fillRect/>
        </a:stretch>
      </xdr:blipFill>
      <xdr:spPr>
        <a:xfrm>
          <a:off x="0" y="14532069"/>
          <a:ext cx="11210925" cy="2736756"/>
        </a:xfrm>
        <a:prstGeom prst="rect">
          <a:avLst/>
        </a:prstGeom>
      </xdr:spPr>
    </xdr:pic>
    <xdr:clientData/>
  </xdr:twoCellAnchor>
  <xdr:twoCellAnchor>
    <xdr:from>
      <xdr:col>0</xdr:col>
      <xdr:colOff>0</xdr:colOff>
      <xdr:row>67</xdr:row>
      <xdr:rowOff>171450</xdr:rowOff>
    </xdr:from>
    <xdr:to>
      <xdr:col>18</xdr:col>
      <xdr:colOff>123825</xdr:colOff>
      <xdr:row>76</xdr:row>
      <xdr:rowOff>19050</xdr:rowOff>
    </xdr:to>
    <xdr:sp macro="" textlink="">
      <xdr:nvSpPr>
        <xdr:cNvPr id="3" name="Rectangle 2">
          <a:extLst>
            <a:ext uri="{FF2B5EF4-FFF2-40B4-BE49-F238E27FC236}">
              <a16:creationId xmlns:a16="http://schemas.microsoft.com/office/drawing/2014/main" id="{9F670046-E04B-DFFE-9394-D1A8B13F1887}"/>
            </a:ext>
          </a:extLst>
        </xdr:cNvPr>
        <xdr:cNvSpPr/>
      </xdr:nvSpPr>
      <xdr:spPr>
        <a:xfrm>
          <a:off x="0" y="12934950"/>
          <a:ext cx="11096625" cy="1562100"/>
        </a:xfrm>
        <a:prstGeom prst="rect">
          <a:avLst/>
        </a:prstGeom>
        <a:solidFill>
          <a:srgbClr val="FFFF00">
            <a:alpha val="1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47625</xdr:rowOff>
    </xdr:from>
    <xdr:to>
      <xdr:col>17</xdr:col>
      <xdr:colOff>515867</xdr:colOff>
      <xdr:row>19</xdr:row>
      <xdr:rowOff>171972</xdr:rowOff>
    </xdr:to>
    <xdr:pic>
      <xdr:nvPicPr>
        <xdr:cNvPr id="4" name="Picture 3">
          <a:extLst>
            <a:ext uri="{FF2B5EF4-FFF2-40B4-BE49-F238E27FC236}">
              <a16:creationId xmlns:a16="http://schemas.microsoft.com/office/drawing/2014/main" id="{2D9356A6-6E7F-7A9B-19EA-60E397D1DC0C}"/>
            </a:ext>
          </a:extLst>
        </xdr:cNvPr>
        <xdr:cNvPicPr>
          <a:picLocks noChangeAspect="1"/>
        </xdr:cNvPicPr>
      </xdr:nvPicPr>
      <xdr:blipFill>
        <a:blip xmlns:r="http://schemas.openxmlformats.org/officeDocument/2006/relationships" r:embed="rId1"/>
        <a:stretch>
          <a:fillRect/>
        </a:stretch>
      </xdr:blipFill>
      <xdr:spPr>
        <a:xfrm>
          <a:off x="9525" y="47625"/>
          <a:ext cx="10869542" cy="3743847"/>
        </a:xfrm>
        <a:prstGeom prst="rect">
          <a:avLst/>
        </a:prstGeom>
      </xdr:spPr>
    </xdr:pic>
    <xdr:clientData/>
  </xdr:twoCellAnchor>
  <xdr:twoCellAnchor editAs="oneCell">
    <xdr:from>
      <xdr:col>0</xdr:col>
      <xdr:colOff>19051</xdr:colOff>
      <xdr:row>20</xdr:row>
      <xdr:rowOff>25507</xdr:rowOff>
    </xdr:from>
    <xdr:to>
      <xdr:col>18</xdr:col>
      <xdr:colOff>9525</xdr:colOff>
      <xdr:row>50</xdr:row>
      <xdr:rowOff>115136</xdr:rowOff>
    </xdr:to>
    <xdr:pic>
      <xdr:nvPicPr>
        <xdr:cNvPr id="5" name="Picture 4">
          <a:extLst>
            <a:ext uri="{FF2B5EF4-FFF2-40B4-BE49-F238E27FC236}">
              <a16:creationId xmlns:a16="http://schemas.microsoft.com/office/drawing/2014/main" id="{FB83E556-036F-D7BE-1B53-D8C0AD7208DD}"/>
            </a:ext>
          </a:extLst>
        </xdr:cNvPr>
        <xdr:cNvPicPr>
          <a:picLocks noChangeAspect="1"/>
        </xdr:cNvPicPr>
      </xdr:nvPicPr>
      <xdr:blipFill>
        <a:blip xmlns:r="http://schemas.openxmlformats.org/officeDocument/2006/relationships" r:embed="rId2"/>
        <a:stretch>
          <a:fillRect/>
        </a:stretch>
      </xdr:blipFill>
      <xdr:spPr>
        <a:xfrm>
          <a:off x="19051" y="3835507"/>
          <a:ext cx="10963274" cy="5804629"/>
        </a:xfrm>
        <a:prstGeom prst="rect">
          <a:avLst/>
        </a:prstGeom>
      </xdr:spPr>
    </xdr:pic>
    <xdr:clientData/>
  </xdr:twoCellAnchor>
  <xdr:twoCellAnchor editAs="oneCell">
    <xdr:from>
      <xdr:col>0</xdr:col>
      <xdr:colOff>0</xdr:colOff>
      <xdr:row>50</xdr:row>
      <xdr:rowOff>152400</xdr:rowOff>
    </xdr:from>
    <xdr:to>
      <xdr:col>17</xdr:col>
      <xdr:colOff>592079</xdr:colOff>
      <xdr:row>60</xdr:row>
      <xdr:rowOff>133613</xdr:rowOff>
    </xdr:to>
    <xdr:pic>
      <xdr:nvPicPr>
        <xdr:cNvPr id="6" name="Picture 5">
          <a:extLst>
            <a:ext uri="{FF2B5EF4-FFF2-40B4-BE49-F238E27FC236}">
              <a16:creationId xmlns:a16="http://schemas.microsoft.com/office/drawing/2014/main" id="{CB9FB4DC-4A15-1136-2F12-338238DE3A79}"/>
            </a:ext>
          </a:extLst>
        </xdr:cNvPr>
        <xdr:cNvPicPr>
          <a:picLocks noChangeAspect="1"/>
        </xdr:cNvPicPr>
      </xdr:nvPicPr>
      <xdr:blipFill>
        <a:blip xmlns:r="http://schemas.openxmlformats.org/officeDocument/2006/relationships" r:embed="rId3"/>
        <a:stretch>
          <a:fillRect/>
        </a:stretch>
      </xdr:blipFill>
      <xdr:spPr>
        <a:xfrm>
          <a:off x="0" y="9677400"/>
          <a:ext cx="10955279" cy="1886213"/>
        </a:xfrm>
        <a:prstGeom prst="rect">
          <a:avLst/>
        </a:prstGeom>
      </xdr:spPr>
    </xdr:pic>
    <xdr:clientData/>
  </xdr:twoCellAnchor>
  <xdr:twoCellAnchor editAs="oneCell">
    <xdr:from>
      <xdr:col>0</xdr:col>
      <xdr:colOff>38100</xdr:colOff>
      <xdr:row>60</xdr:row>
      <xdr:rowOff>161925</xdr:rowOff>
    </xdr:from>
    <xdr:to>
      <xdr:col>17</xdr:col>
      <xdr:colOff>582547</xdr:colOff>
      <xdr:row>68</xdr:row>
      <xdr:rowOff>143085</xdr:rowOff>
    </xdr:to>
    <xdr:pic>
      <xdr:nvPicPr>
        <xdr:cNvPr id="7" name="Picture 6">
          <a:extLst>
            <a:ext uri="{FF2B5EF4-FFF2-40B4-BE49-F238E27FC236}">
              <a16:creationId xmlns:a16="http://schemas.microsoft.com/office/drawing/2014/main" id="{431011C9-A465-6FF6-AB6A-2308689F9F18}"/>
            </a:ext>
          </a:extLst>
        </xdr:cNvPr>
        <xdr:cNvPicPr>
          <a:picLocks noChangeAspect="1"/>
        </xdr:cNvPicPr>
      </xdr:nvPicPr>
      <xdr:blipFill>
        <a:blip xmlns:r="http://schemas.openxmlformats.org/officeDocument/2006/relationships" r:embed="rId4"/>
        <a:stretch>
          <a:fillRect/>
        </a:stretch>
      </xdr:blipFill>
      <xdr:spPr>
        <a:xfrm>
          <a:off x="38100" y="11591925"/>
          <a:ext cx="10907647" cy="1505160"/>
        </a:xfrm>
        <a:prstGeom prst="rect">
          <a:avLst/>
        </a:prstGeom>
      </xdr:spPr>
    </xdr:pic>
    <xdr:clientData/>
  </xdr:twoCellAnchor>
  <xdr:twoCellAnchor editAs="oneCell">
    <xdr:from>
      <xdr:col>0</xdr:col>
      <xdr:colOff>47625</xdr:colOff>
      <xdr:row>68</xdr:row>
      <xdr:rowOff>165309</xdr:rowOff>
    </xdr:from>
    <xdr:to>
      <xdr:col>18</xdr:col>
      <xdr:colOff>38100</xdr:colOff>
      <xdr:row>82</xdr:row>
      <xdr:rowOff>95617</xdr:rowOff>
    </xdr:to>
    <xdr:pic>
      <xdr:nvPicPr>
        <xdr:cNvPr id="8" name="Picture 7">
          <a:extLst>
            <a:ext uri="{FF2B5EF4-FFF2-40B4-BE49-F238E27FC236}">
              <a16:creationId xmlns:a16="http://schemas.microsoft.com/office/drawing/2014/main" id="{3DEC43B5-57C7-AD2A-973F-38CE05EC67DD}"/>
            </a:ext>
          </a:extLst>
        </xdr:cNvPr>
        <xdr:cNvPicPr>
          <a:picLocks noChangeAspect="1"/>
        </xdr:cNvPicPr>
      </xdr:nvPicPr>
      <xdr:blipFill>
        <a:blip xmlns:r="http://schemas.openxmlformats.org/officeDocument/2006/relationships" r:embed="rId5"/>
        <a:stretch>
          <a:fillRect/>
        </a:stretch>
      </xdr:blipFill>
      <xdr:spPr>
        <a:xfrm>
          <a:off x="47625" y="13119309"/>
          <a:ext cx="10963275" cy="2597308"/>
        </a:xfrm>
        <a:prstGeom prst="rect">
          <a:avLst/>
        </a:prstGeom>
      </xdr:spPr>
    </xdr:pic>
    <xdr:clientData/>
  </xdr:twoCellAnchor>
  <xdr:twoCellAnchor>
    <xdr:from>
      <xdr:col>0</xdr:col>
      <xdr:colOff>0</xdr:colOff>
      <xdr:row>60</xdr:row>
      <xdr:rowOff>180975</xdr:rowOff>
    </xdr:from>
    <xdr:to>
      <xdr:col>18</xdr:col>
      <xdr:colOff>123825</xdr:colOff>
      <xdr:row>68</xdr:row>
      <xdr:rowOff>114300</xdr:rowOff>
    </xdr:to>
    <xdr:sp macro="" textlink="">
      <xdr:nvSpPr>
        <xdr:cNvPr id="2" name="Rectangle 1">
          <a:extLst>
            <a:ext uri="{FF2B5EF4-FFF2-40B4-BE49-F238E27FC236}">
              <a16:creationId xmlns:a16="http://schemas.microsoft.com/office/drawing/2014/main" id="{8613B325-0CC2-45A7-8DD8-87CB26373ED0}"/>
            </a:ext>
          </a:extLst>
        </xdr:cNvPr>
        <xdr:cNvSpPr/>
      </xdr:nvSpPr>
      <xdr:spPr>
        <a:xfrm>
          <a:off x="0" y="11610975"/>
          <a:ext cx="11096625" cy="1457325"/>
        </a:xfrm>
        <a:prstGeom prst="rect">
          <a:avLst/>
        </a:prstGeom>
        <a:solidFill>
          <a:srgbClr val="FFFF00">
            <a:alpha val="1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414385</xdr:colOff>
      <xdr:row>26</xdr:row>
      <xdr:rowOff>28611</xdr:rowOff>
    </xdr:to>
    <xdr:pic>
      <xdr:nvPicPr>
        <xdr:cNvPr id="2" name="Picture 1">
          <a:extLst>
            <a:ext uri="{FF2B5EF4-FFF2-40B4-BE49-F238E27FC236}">
              <a16:creationId xmlns:a16="http://schemas.microsoft.com/office/drawing/2014/main" id="{C6ACC772-8D7E-6B5E-7764-A22C5265635F}"/>
            </a:ext>
          </a:extLst>
        </xdr:cNvPr>
        <xdr:cNvPicPr>
          <a:picLocks noChangeAspect="1"/>
        </xdr:cNvPicPr>
      </xdr:nvPicPr>
      <xdr:blipFill>
        <a:blip xmlns:r="http://schemas.openxmlformats.org/officeDocument/2006/relationships" r:embed="rId1"/>
        <a:stretch>
          <a:fillRect/>
        </a:stretch>
      </xdr:blipFill>
      <xdr:spPr>
        <a:xfrm>
          <a:off x="0" y="0"/>
          <a:ext cx="6510385" cy="4981611"/>
        </a:xfrm>
        <a:prstGeom prst="rect">
          <a:avLst/>
        </a:prstGeom>
      </xdr:spPr>
    </xdr:pic>
    <xdr:clientData/>
  </xdr:twoCellAnchor>
  <xdr:twoCellAnchor editAs="oneCell">
    <xdr:from>
      <xdr:col>0</xdr:col>
      <xdr:colOff>0</xdr:colOff>
      <xdr:row>26</xdr:row>
      <xdr:rowOff>9525</xdr:rowOff>
    </xdr:from>
    <xdr:to>
      <xdr:col>11</xdr:col>
      <xdr:colOff>514403</xdr:colOff>
      <xdr:row>52</xdr:row>
      <xdr:rowOff>4799</xdr:rowOff>
    </xdr:to>
    <xdr:pic>
      <xdr:nvPicPr>
        <xdr:cNvPr id="3" name="Picture 2">
          <a:extLst>
            <a:ext uri="{FF2B5EF4-FFF2-40B4-BE49-F238E27FC236}">
              <a16:creationId xmlns:a16="http://schemas.microsoft.com/office/drawing/2014/main" id="{5E29337C-2B6C-74D5-F53F-C166732A68AB}"/>
            </a:ext>
          </a:extLst>
        </xdr:cNvPr>
        <xdr:cNvPicPr>
          <a:picLocks noChangeAspect="1"/>
        </xdr:cNvPicPr>
      </xdr:nvPicPr>
      <xdr:blipFill>
        <a:blip xmlns:r="http://schemas.openxmlformats.org/officeDocument/2006/relationships" r:embed="rId2"/>
        <a:stretch>
          <a:fillRect/>
        </a:stretch>
      </xdr:blipFill>
      <xdr:spPr>
        <a:xfrm>
          <a:off x="0" y="4962525"/>
          <a:ext cx="7220003" cy="4948274"/>
        </a:xfrm>
        <a:prstGeom prst="rect">
          <a:avLst/>
        </a:prstGeom>
      </xdr:spPr>
    </xdr:pic>
    <xdr:clientData/>
  </xdr:twoCellAnchor>
  <xdr:twoCellAnchor editAs="oneCell">
    <xdr:from>
      <xdr:col>12</xdr:col>
      <xdr:colOff>142875</xdr:colOff>
      <xdr:row>1</xdr:row>
      <xdr:rowOff>76200</xdr:rowOff>
    </xdr:from>
    <xdr:to>
      <xdr:col>21</xdr:col>
      <xdr:colOff>595356</xdr:colOff>
      <xdr:row>23</xdr:row>
      <xdr:rowOff>9555</xdr:rowOff>
    </xdr:to>
    <xdr:pic>
      <xdr:nvPicPr>
        <xdr:cNvPr id="4" name="Picture 3">
          <a:extLst>
            <a:ext uri="{FF2B5EF4-FFF2-40B4-BE49-F238E27FC236}">
              <a16:creationId xmlns:a16="http://schemas.microsoft.com/office/drawing/2014/main" id="{AA3457AD-3949-9F31-D6ED-369DEFB935C1}"/>
            </a:ext>
          </a:extLst>
        </xdr:cNvPr>
        <xdr:cNvPicPr>
          <a:picLocks noChangeAspect="1"/>
        </xdr:cNvPicPr>
      </xdr:nvPicPr>
      <xdr:blipFill>
        <a:blip xmlns:r="http://schemas.openxmlformats.org/officeDocument/2006/relationships" r:embed="rId3"/>
        <a:stretch>
          <a:fillRect/>
        </a:stretch>
      </xdr:blipFill>
      <xdr:spPr>
        <a:xfrm>
          <a:off x="7458075" y="266700"/>
          <a:ext cx="5938881" cy="4124355"/>
        </a:xfrm>
        <a:prstGeom prst="rect">
          <a:avLst/>
        </a:prstGeom>
      </xdr:spPr>
    </xdr:pic>
    <xdr:clientData/>
  </xdr:twoCellAnchor>
  <xdr:twoCellAnchor editAs="oneCell">
    <xdr:from>
      <xdr:col>12</xdr:col>
      <xdr:colOff>257175</xdr:colOff>
      <xdr:row>23</xdr:row>
      <xdr:rowOff>123825</xdr:rowOff>
    </xdr:from>
    <xdr:to>
      <xdr:col>22</xdr:col>
      <xdr:colOff>100056</xdr:colOff>
      <xdr:row>47</xdr:row>
      <xdr:rowOff>19083</xdr:rowOff>
    </xdr:to>
    <xdr:pic>
      <xdr:nvPicPr>
        <xdr:cNvPr id="5" name="Picture 4">
          <a:extLst>
            <a:ext uri="{FF2B5EF4-FFF2-40B4-BE49-F238E27FC236}">
              <a16:creationId xmlns:a16="http://schemas.microsoft.com/office/drawing/2014/main" id="{40D8AAEC-019C-6D69-A8F8-CA1433BEFF0A}"/>
            </a:ext>
          </a:extLst>
        </xdr:cNvPr>
        <xdr:cNvPicPr>
          <a:picLocks noChangeAspect="1"/>
        </xdr:cNvPicPr>
      </xdr:nvPicPr>
      <xdr:blipFill>
        <a:blip xmlns:r="http://schemas.openxmlformats.org/officeDocument/2006/relationships" r:embed="rId4"/>
        <a:stretch>
          <a:fillRect/>
        </a:stretch>
      </xdr:blipFill>
      <xdr:spPr>
        <a:xfrm>
          <a:off x="7572375" y="4505325"/>
          <a:ext cx="5938881" cy="4467258"/>
        </a:xfrm>
        <a:prstGeom prst="rect">
          <a:avLst/>
        </a:prstGeom>
      </xdr:spPr>
    </xdr:pic>
    <xdr:clientData/>
  </xdr:twoCellAnchor>
  <xdr:twoCellAnchor>
    <xdr:from>
      <xdr:col>0</xdr:col>
      <xdr:colOff>95250</xdr:colOff>
      <xdr:row>39</xdr:row>
      <xdr:rowOff>161925</xdr:rowOff>
    </xdr:from>
    <xdr:to>
      <xdr:col>11</xdr:col>
      <xdr:colOff>381000</xdr:colOff>
      <xdr:row>43</xdr:row>
      <xdr:rowOff>180975</xdr:rowOff>
    </xdr:to>
    <xdr:sp macro="" textlink="">
      <xdr:nvSpPr>
        <xdr:cNvPr id="6" name="Rectangle 5">
          <a:extLst>
            <a:ext uri="{FF2B5EF4-FFF2-40B4-BE49-F238E27FC236}">
              <a16:creationId xmlns:a16="http://schemas.microsoft.com/office/drawing/2014/main" id="{D0213D93-E15B-FA67-33ED-19FD9F341F13}"/>
            </a:ext>
          </a:extLst>
        </xdr:cNvPr>
        <xdr:cNvSpPr/>
      </xdr:nvSpPr>
      <xdr:spPr>
        <a:xfrm>
          <a:off x="95250" y="7591425"/>
          <a:ext cx="6991350" cy="781050"/>
        </a:xfrm>
        <a:prstGeom prst="rect">
          <a:avLst/>
        </a:prstGeom>
        <a:solidFill>
          <a:srgbClr val="FFFF00">
            <a:alpha val="2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B6AF-7BB8-4F64-9CB4-2D7658D5D6BE}">
  <sheetPr>
    <pageSetUpPr fitToPage="1"/>
  </sheetPr>
  <dimension ref="B1:IO305"/>
  <sheetViews>
    <sheetView topLeftCell="A15" zoomScale="115" zoomScaleNormal="115" workbookViewId="0"/>
  </sheetViews>
  <sheetFormatPr defaultColWidth="9.140625" defaultRowHeight="15"/>
  <cols>
    <col min="1" max="128" width="2.7109375" style="1" customWidth="1"/>
    <col min="129" max="131" width="2.7109375" style="2" customWidth="1"/>
    <col min="132" max="133" width="2.7109375" style="1" customWidth="1"/>
    <col min="134" max="148" width="2.7109375" style="3" customWidth="1"/>
    <col min="149" max="167" width="2.7109375" style="1" customWidth="1"/>
    <col min="168" max="168" width="9.140625" style="1" customWidth="1"/>
    <col min="169" max="169" width="0.28515625" style="1" customWidth="1"/>
    <col min="170" max="189" width="9.140625" style="1" customWidth="1"/>
    <col min="190" max="249" width="2.7109375" style="1" customWidth="1"/>
    <col min="250" max="250" width="9.140625" style="1" customWidth="1"/>
    <col min="251" max="16384" width="9.140625" style="1"/>
  </cols>
  <sheetData>
    <row r="1" spans="2:148" ht="18" customHeight="1"/>
    <row r="2" spans="2:148" ht="18" customHeight="1">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48" ht="18" customHeight="1">
      <c r="B3" s="7"/>
      <c r="AO3" s="8" t="s">
        <v>0</v>
      </c>
      <c r="AP3" s="9"/>
      <c r="AR3" s="7"/>
      <c r="CF3" s="9"/>
    </row>
    <row r="4" spans="2:148" ht="18" customHeight="1">
      <c r="B4" s="7"/>
      <c r="AO4" s="10" t="s">
        <v>1</v>
      </c>
      <c r="AP4" s="9"/>
      <c r="AR4" s="7"/>
      <c r="CF4" s="9"/>
      <c r="DY4" s="1"/>
      <c r="DZ4" s="1"/>
      <c r="EA4" s="1"/>
      <c r="ED4" s="1"/>
      <c r="EE4" s="1"/>
      <c r="EF4" s="1"/>
      <c r="EG4" s="1"/>
      <c r="EH4" s="1"/>
      <c r="EI4" s="1"/>
      <c r="EJ4" s="1"/>
      <c r="EK4" s="1"/>
      <c r="EL4" s="1"/>
      <c r="EM4" s="1"/>
      <c r="EN4" s="1"/>
      <c r="EO4" s="1"/>
      <c r="EP4" s="1"/>
      <c r="EQ4" s="1"/>
      <c r="ER4" s="1"/>
    </row>
    <row r="5" spans="2:148" ht="18" customHeight="1" thickBot="1">
      <c r="B5" s="7"/>
      <c r="AO5" s="10" t="s">
        <v>2</v>
      </c>
      <c r="AP5" s="9"/>
      <c r="AR5" s="7"/>
      <c r="AS5" s="11" t="s">
        <v>155</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DY5" s="1"/>
      <c r="DZ5" s="1"/>
      <c r="EA5" s="1"/>
      <c r="ED5" s="1"/>
      <c r="EE5" s="1"/>
      <c r="EF5" s="1"/>
      <c r="EG5" s="1"/>
      <c r="EH5" s="1"/>
      <c r="EI5" s="1"/>
      <c r="EJ5" s="1"/>
      <c r="EK5" s="1"/>
      <c r="EL5" s="1"/>
      <c r="EM5" s="1"/>
      <c r="EN5" s="1"/>
      <c r="EO5" s="1"/>
      <c r="EP5" s="1"/>
      <c r="EQ5" s="1"/>
      <c r="ER5" s="1"/>
    </row>
    <row r="6" spans="2:148" ht="18" customHeight="1" thickBot="1">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DY6" s="1"/>
      <c r="DZ6" s="1"/>
      <c r="EA6" s="1"/>
      <c r="ED6" s="1"/>
      <c r="EE6" s="1"/>
      <c r="EF6" s="1"/>
      <c r="EG6" s="1"/>
      <c r="EH6" s="1"/>
      <c r="EI6" s="1"/>
      <c r="EJ6" s="1"/>
      <c r="EK6" s="1"/>
      <c r="EL6" s="1"/>
      <c r="EM6" s="1"/>
      <c r="EN6" s="1"/>
      <c r="EO6" s="1"/>
      <c r="EP6" s="1"/>
      <c r="EQ6" s="1"/>
      <c r="ER6" s="1"/>
    </row>
    <row r="7" spans="2:148" ht="18" customHeight="1">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DY7" s="1"/>
      <c r="DZ7" s="1"/>
      <c r="EA7" s="1"/>
      <c r="ED7" s="1"/>
      <c r="EE7" s="1"/>
      <c r="EF7" s="1"/>
      <c r="EG7" s="1"/>
      <c r="EH7" s="1"/>
      <c r="EI7" s="1"/>
      <c r="EJ7" s="1"/>
      <c r="EK7" s="1"/>
      <c r="EL7" s="1"/>
      <c r="EM7" s="1"/>
      <c r="EN7" s="1"/>
      <c r="EO7" s="1"/>
      <c r="EP7" s="1"/>
      <c r="EQ7" s="1"/>
      <c r="ER7" s="1"/>
    </row>
    <row r="8" spans="2:148" ht="18" customHeight="1">
      <c r="B8" s="7"/>
      <c r="C8" s="183" t="s">
        <v>18</v>
      </c>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9"/>
      <c r="AR8" s="7"/>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9"/>
      <c r="DY8" s="1"/>
      <c r="DZ8" s="1"/>
      <c r="EA8" s="1"/>
      <c r="ED8" s="1"/>
      <c r="EE8" s="1"/>
      <c r="EF8" s="1"/>
      <c r="EG8" s="1"/>
      <c r="EH8" s="1"/>
      <c r="EI8" s="1"/>
      <c r="EJ8" s="1"/>
      <c r="EK8" s="1"/>
      <c r="EL8" s="1"/>
      <c r="EM8" s="1"/>
      <c r="EN8" s="1"/>
      <c r="EO8" s="1"/>
      <c r="EP8" s="1"/>
      <c r="EQ8" s="1"/>
      <c r="ER8" s="1"/>
    </row>
    <row r="9" spans="2:148" ht="18" customHeight="1">
      <c r="B9" s="7"/>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9"/>
      <c r="AR9" s="7"/>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9"/>
      <c r="DY9" s="1"/>
      <c r="DZ9" s="1"/>
      <c r="EA9" s="1"/>
      <c r="ED9" s="1"/>
      <c r="EE9" s="1"/>
      <c r="EF9" s="1"/>
      <c r="EG9" s="1"/>
      <c r="EH9" s="1"/>
      <c r="EI9" s="1"/>
      <c r="EJ9" s="1"/>
      <c r="EK9" s="1"/>
      <c r="EL9" s="1"/>
      <c r="EM9" s="1"/>
      <c r="EN9" s="1"/>
      <c r="EO9" s="1"/>
      <c r="EP9" s="1"/>
      <c r="EQ9" s="1"/>
      <c r="ER9" s="1"/>
    </row>
    <row r="10" spans="2:148" ht="18" customHeight="1">
      <c r="B10" s="7"/>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9"/>
      <c r="AR10" s="7"/>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9"/>
      <c r="DY10" s="1"/>
      <c r="DZ10" s="1"/>
      <c r="EA10" s="1"/>
      <c r="ED10" s="1"/>
      <c r="EE10" s="1"/>
      <c r="EF10" s="1"/>
      <c r="EG10" s="1"/>
      <c r="EH10" s="1"/>
      <c r="EI10" s="1"/>
      <c r="EJ10" s="1"/>
      <c r="EK10" s="1"/>
      <c r="EL10" s="1"/>
      <c r="EM10" s="1"/>
      <c r="EN10" s="1"/>
      <c r="EO10" s="1"/>
      <c r="EP10" s="1"/>
      <c r="EQ10" s="1"/>
      <c r="ER10" s="1"/>
    </row>
    <row r="11" spans="2:148" ht="18" customHeight="1">
      <c r="B11" s="7"/>
      <c r="C11" s="41"/>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9"/>
      <c r="AR11" s="7"/>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9"/>
      <c r="DY11" s="1"/>
      <c r="DZ11" s="1"/>
      <c r="EA11" s="1"/>
      <c r="ED11" s="1"/>
      <c r="EE11" s="1"/>
      <c r="EF11" s="1"/>
      <c r="EG11" s="1"/>
      <c r="EH11" s="1"/>
      <c r="EI11" s="1"/>
      <c r="EJ11" s="1"/>
      <c r="EK11" s="1"/>
      <c r="EL11" s="1"/>
      <c r="EM11" s="1"/>
      <c r="EN11" s="1"/>
      <c r="EO11" s="1"/>
      <c r="EP11" s="1"/>
      <c r="EQ11" s="1"/>
      <c r="ER11" s="1"/>
    </row>
    <row r="12" spans="2:148" ht="18" customHeight="1">
      <c r="B12" s="7"/>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9"/>
      <c r="AR12" s="7"/>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9"/>
      <c r="DY12" s="1"/>
      <c r="DZ12" s="1"/>
      <c r="EA12" s="1"/>
      <c r="ED12" s="1"/>
      <c r="EE12" s="1"/>
      <c r="EF12" s="1"/>
      <c r="EG12" s="1"/>
      <c r="EH12" s="1"/>
      <c r="EI12" s="1"/>
      <c r="EJ12" s="1"/>
      <c r="EK12" s="1"/>
      <c r="EL12" s="1"/>
      <c r="EM12" s="1"/>
      <c r="EN12" s="1"/>
      <c r="EO12" s="1"/>
      <c r="EP12" s="1"/>
      <c r="EQ12" s="1"/>
      <c r="ER12" s="1"/>
    </row>
    <row r="13" spans="2:148" ht="18" customHeight="1">
      <c r="B13" s="7"/>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9"/>
      <c r="AR13" s="7"/>
      <c r="CF13" s="9"/>
      <c r="DY13" s="1"/>
      <c r="DZ13" s="1"/>
      <c r="EA13" s="1"/>
      <c r="ED13" s="1"/>
      <c r="EE13" s="1"/>
      <c r="EF13" s="1"/>
      <c r="EG13" s="1"/>
      <c r="EH13" s="1"/>
      <c r="EI13" s="1"/>
      <c r="EJ13" s="1"/>
      <c r="EK13" s="1"/>
      <c r="EL13" s="1"/>
      <c r="EM13" s="1"/>
      <c r="EN13" s="1"/>
      <c r="EO13" s="1"/>
      <c r="EP13" s="1"/>
      <c r="EQ13" s="1"/>
      <c r="ER13" s="1"/>
    </row>
    <row r="14" spans="2:148" ht="18" customHeight="1">
      <c r="B14" s="7"/>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9"/>
      <c r="AR14" s="7"/>
      <c r="CF14" s="9"/>
      <c r="DY14" s="1"/>
      <c r="DZ14" s="1"/>
      <c r="EA14" s="1"/>
      <c r="ED14" s="1"/>
      <c r="EE14" s="1"/>
      <c r="EF14" s="1"/>
      <c r="EG14" s="1"/>
      <c r="EH14" s="1"/>
      <c r="EI14" s="1"/>
      <c r="EJ14" s="1"/>
      <c r="EK14" s="1"/>
      <c r="EL14" s="1"/>
      <c r="EM14" s="1"/>
      <c r="EN14" s="1"/>
      <c r="EO14" s="1"/>
      <c r="EP14" s="1"/>
      <c r="EQ14" s="1"/>
      <c r="ER14" s="1"/>
    </row>
    <row r="15" spans="2:148" ht="18" customHeight="1">
      <c r="B15" s="7"/>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9"/>
      <c r="AR15" s="7"/>
      <c r="CF15" s="9"/>
      <c r="DY15" s="1"/>
      <c r="DZ15" s="1"/>
      <c r="EA15" s="1"/>
      <c r="ED15" s="1"/>
      <c r="EE15" s="1"/>
      <c r="EF15" s="1"/>
      <c r="EG15" s="1"/>
      <c r="EH15" s="1"/>
      <c r="EI15" s="1"/>
      <c r="EJ15" s="1"/>
      <c r="EK15" s="1"/>
      <c r="EL15" s="1"/>
      <c r="EM15" s="1"/>
      <c r="EN15" s="1"/>
      <c r="EO15" s="1"/>
      <c r="EP15" s="1"/>
      <c r="EQ15" s="1"/>
      <c r="ER15" s="1"/>
    </row>
    <row r="16" spans="2:148" ht="18" customHeight="1">
      <c r="B16" s="7"/>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9"/>
      <c r="AR16" s="7"/>
      <c r="CF16" s="9"/>
      <c r="DY16" s="1"/>
      <c r="DZ16" s="1"/>
      <c r="EA16" s="1"/>
      <c r="ED16" s="1"/>
      <c r="EE16" s="1"/>
      <c r="EF16" s="1"/>
      <c r="EG16" s="1"/>
      <c r="EH16" s="1"/>
      <c r="EI16" s="1"/>
      <c r="EJ16" s="1"/>
      <c r="EK16" s="1"/>
      <c r="EL16" s="1"/>
      <c r="EM16" s="1"/>
      <c r="EN16" s="1"/>
      <c r="EO16" s="1"/>
      <c r="EP16" s="1"/>
      <c r="EQ16" s="1"/>
      <c r="ER16" s="1"/>
    </row>
    <row r="17" spans="2:148" ht="18" customHeight="1">
      <c r="B17" s="7"/>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9"/>
      <c r="AR17" s="7"/>
      <c r="CF17" s="9"/>
      <c r="DY17" s="1"/>
      <c r="DZ17" s="1"/>
      <c r="EA17" s="1"/>
      <c r="ED17" s="1"/>
      <c r="EE17" s="1"/>
      <c r="EF17" s="1"/>
      <c r="EG17" s="1"/>
      <c r="EH17" s="1"/>
      <c r="EI17" s="1"/>
      <c r="EJ17" s="1"/>
      <c r="EK17" s="1"/>
      <c r="EL17" s="1"/>
      <c r="EM17" s="1"/>
      <c r="EN17" s="1"/>
      <c r="EO17" s="1"/>
      <c r="EP17" s="1"/>
      <c r="EQ17" s="1"/>
      <c r="ER17" s="1"/>
    </row>
    <row r="18" spans="2:148" ht="18" customHeight="1">
      <c r="B18" s="7"/>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9"/>
      <c r="AR18" s="7"/>
      <c r="CF18" s="9"/>
      <c r="DY18" s="1"/>
      <c r="DZ18" s="1"/>
      <c r="EA18" s="1"/>
      <c r="ED18" s="1"/>
      <c r="EE18" s="1"/>
      <c r="EF18" s="1"/>
      <c r="EG18" s="1"/>
      <c r="EH18" s="1"/>
      <c r="EI18" s="1"/>
      <c r="EJ18" s="1"/>
      <c r="EK18" s="1"/>
      <c r="EL18" s="1"/>
      <c r="EM18" s="1"/>
      <c r="EN18" s="1"/>
      <c r="EO18" s="1"/>
      <c r="EP18" s="1"/>
      <c r="EQ18" s="1"/>
      <c r="ER18" s="1"/>
    </row>
    <row r="19" spans="2:148" ht="18" customHeight="1">
      <c r="B19" s="7"/>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9"/>
      <c r="AR19" s="7"/>
      <c r="CF19" s="9"/>
      <c r="DY19" s="1"/>
      <c r="DZ19" s="1"/>
      <c r="EA19" s="1"/>
      <c r="ED19" s="1"/>
      <c r="EE19" s="1"/>
      <c r="EF19" s="1"/>
      <c r="EG19" s="1"/>
      <c r="EH19" s="1"/>
      <c r="EI19" s="1"/>
      <c r="EJ19" s="1"/>
      <c r="EK19" s="1"/>
      <c r="EL19" s="1"/>
      <c r="EM19" s="1"/>
      <c r="EN19" s="1"/>
      <c r="EO19" s="1"/>
      <c r="EP19" s="1"/>
      <c r="EQ19" s="1"/>
      <c r="ER19" s="1"/>
    </row>
    <row r="20" spans="2:148" ht="18" customHeight="1">
      <c r="B20" s="7"/>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9"/>
      <c r="AR20" s="7"/>
      <c r="CF20" s="9"/>
      <c r="DY20" s="1"/>
      <c r="DZ20" s="1"/>
      <c r="EA20" s="1"/>
      <c r="ED20" s="1"/>
      <c r="EE20" s="1"/>
      <c r="EF20" s="1"/>
      <c r="EG20" s="1"/>
      <c r="EH20" s="1"/>
      <c r="EI20" s="1"/>
      <c r="EJ20" s="1"/>
      <c r="EK20" s="1"/>
      <c r="EL20" s="1"/>
      <c r="EM20" s="1"/>
      <c r="EN20" s="1"/>
      <c r="EO20" s="1"/>
      <c r="EP20" s="1"/>
      <c r="EQ20" s="1"/>
      <c r="ER20" s="1"/>
    </row>
    <row r="21" spans="2:148" ht="18" customHeight="1">
      <c r="B21" s="7"/>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9"/>
      <c r="AR21" s="7"/>
      <c r="CF21" s="9"/>
      <c r="DY21" s="1"/>
      <c r="DZ21" s="1"/>
      <c r="EA21" s="1"/>
      <c r="ED21" s="1"/>
      <c r="EE21" s="1"/>
      <c r="EF21" s="1"/>
      <c r="EG21" s="1"/>
      <c r="EH21" s="1"/>
      <c r="EI21" s="1"/>
      <c r="EJ21" s="1"/>
      <c r="EK21" s="1"/>
      <c r="EL21" s="1"/>
      <c r="EM21" s="1"/>
      <c r="EN21" s="1"/>
      <c r="EO21" s="1"/>
      <c r="EP21" s="1"/>
      <c r="EQ21" s="1"/>
      <c r="ER21" s="1"/>
    </row>
    <row r="22" spans="2:148" ht="18" customHeight="1">
      <c r="B22" s="7"/>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9"/>
      <c r="AR22" s="7"/>
      <c r="CF22" s="9"/>
      <c r="DY22" s="1"/>
      <c r="DZ22" s="1"/>
      <c r="EA22" s="1"/>
      <c r="ED22" s="1"/>
      <c r="EE22" s="1"/>
      <c r="EF22" s="1"/>
      <c r="EG22" s="1"/>
      <c r="EH22" s="1"/>
      <c r="EI22" s="1"/>
      <c r="EJ22" s="1"/>
      <c r="EK22" s="1"/>
      <c r="EL22" s="1"/>
      <c r="EM22" s="1"/>
      <c r="EN22" s="1"/>
      <c r="EO22" s="1"/>
      <c r="EP22" s="1"/>
      <c r="EQ22" s="1"/>
      <c r="ER22" s="1"/>
    </row>
    <row r="23" spans="2:148" ht="18" customHeight="1">
      <c r="B23" s="7"/>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9"/>
      <c r="AR23" s="7"/>
      <c r="CF23" s="9"/>
      <c r="DY23" s="1"/>
      <c r="DZ23" s="1"/>
      <c r="EA23" s="1"/>
      <c r="ED23" s="1"/>
      <c r="EE23" s="1"/>
      <c r="EF23" s="1"/>
      <c r="EG23" s="1"/>
      <c r="EH23" s="1"/>
      <c r="EI23" s="1"/>
      <c r="EJ23" s="1"/>
      <c r="EK23" s="1"/>
      <c r="EL23" s="1"/>
      <c r="EM23" s="1"/>
      <c r="EN23" s="1"/>
      <c r="EO23" s="1"/>
      <c r="EP23" s="1"/>
      <c r="EQ23" s="1"/>
      <c r="ER23" s="1"/>
    </row>
    <row r="24" spans="2:148" ht="18" customHeight="1">
      <c r="B24" s="7"/>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9"/>
      <c r="AR24" s="7"/>
      <c r="CF24" s="9"/>
      <c r="DY24" s="1"/>
      <c r="DZ24" s="1"/>
      <c r="EA24" s="1"/>
      <c r="ED24" s="1"/>
      <c r="EE24" s="1"/>
      <c r="EF24" s="1"/>
      <c r="EG24" s="1"/>
      <c r="EH24" s="1"/>
      <c r="EI24" s="1"/>
      <c r="EJ24" s="1"/>
      <c r="EK24" s="1"/>
      <c r="EL24" s="1"/>
      <c r="EM24" s="1"/>
      <c r="EN24" s="1"/>
      <c r="EO24" s="1"/>
      <c r="EP24" s="1"/>
      <c r="EQ24" s="1"/>
      <c r="ER24" s="1"/>
    </row>
    <row r="25" spans="2:148" ht="18" customHeight="1">
      <c r="B25" s="7"/>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20"/>
      <c r="AR25" s="7"/>
      <c r="CF25" s="9"/>
      <c r="DY25" s="1"/>
      <c r="DZ25" s="1"/>
      <c r="EA25" s="1"/>
      <c r="ED25" s="1"/>
      <c r="EE25" s="1"/>
      <c r="EF25" s="1"/>
      <c r="EG25" s="1"/>
      <c r="EH25" s="1"/>
      <c r="EI25" s="1"/>
      <c r="EJ25" s="1"/>
      <c r="EK25" s="1"/>
      <c r="EL25" s="1"/>
      <c r="EM25" s="1"/>
      <c r="EN25" s="1"/>
      <c r="EO25" s="1"/>
      <c r="EP25" s="1"/>
      <c r="EQ25" s="1"/>
      <c r="ER25" s="1"/>
    </row>
    <row r="26" spans="2:148" ht="18" customHeight="1">
      <c r="B26" s="7"/>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9"/>
      <c r="AR26" s="7"/>
      <c r="CF26" s="21"/>
      <c r="DY26" s="1"/>
      <c r="DZ26" s="1"/>
      <c r="EA26" s="1"/>
      <c r="ED26" s="1"/>
      <c r="EE26" s="1"/>
      <c r="EF26" s="1"/>
      <c r="EG26" s="1"/>
      <c r="EH26" s="1"/>
      <c r="EI26" s="1"/>
      <c r="EJ26" s="1"/>
      <c r="EK26" s="1"/>
      <c r="EL26" s="1"/>
      <c r="EM26" s="1"/>
      <c r="EN26" s="1"/>
      <c r="EO26" s="1"/>
      <c r="EP26" s="1"/>
      <c r="EQ26" s="1"/>
      <c r="ER26" s="1"/>
    </row>
    <row r="27" spans="2:148" ht="18" customHeight="1">
      <c r="B27" s="7"/>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9"/>
      <c r="AR27" s="7"/>
      <c r="CF27" s="9"/>
      <c r="DY27" s="1"/>
      <c r="DZ27" s="1"/>
      <c r="EA27" s="1"/>
      <c r="ED27" s="1"/>
      <c r="EE27" s="1"/>
      <c r="EF27" s="1"/>
      <c r="EG27" s="1"/>
      <c r="EH27" s="1"/>
      <c r="EI27" s="1"/>
      <c r="EJ27" s="1"/>
      <c r="EK27" s="1"/>
      <c r="EL27" s="1"/>
      <c r="EM27" s="1"/>
      <c r="EN27" s="1"/>
      <c r="EO27" s="1"/>
      <c r="EP27" s="1"/>
      <c r="EQ27" s="1"/>
      <c r="ER27" s="1"/>
    </row>
    <row r="28" spans="2:148" ht="18" customHeight="1">
      <c r="B28" s="7"/>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9"/>
      <c r="AR28" s="7"/>
      <c r="CF28" s="9"/>
      <c r="DY28" s="1"/>
      <c r="DZ28" s="1"/>
      <c r="EA28" s="1"/>
      <c r="ED28" s="1"/>
      <c r="EE28" s="1"/>
      <c r="EF28" s="1"/>
      <c r="EG28" s="1"/>
      <c r="EH28" s="1"/>
      <c r="EI28" s="1"/>
      <c r="EJ28" s="1"/>
      <c r="EK28" s="1"/>
      <c r="EL28" s="1"/>
      <c r="EM28" s="1"/>
      <c r="EN28" s="1"/>
      <c r="EO28" s="1"/>
      <c r="EP28" s="1"/>
      <c r="EQ28" s="1"/>
      <c r="ER28" s="1"/>
    </row>
    <row r="29" spans="2:148" ht="18" customHeight="1">
      <c r="B29" s="7"/>
      <c r="C29" s="42"/>
      <c r="D29" s="42"/>
      <c r="E29" s="42"/>
      <c r="F29" s="42"/>
      <c r="G29" s="42"/>
      <c r="H29" s="42"/>
      <c r="I29" s="42"/>
      <c r="J29" s="42"/>
      <c r="K29" s="42"/>
      <c r="L29" s="42"/>
      <c r="M29" s="42"/>
      <c r="N29" s="42"/>
      <c r="O29" s="42"/>
      <c r="P29" s="42"/>
      <c r="Q29" s="42"/>
      <c r="R29" s="42"/>
      <c r="AP29" s="9"/>
      <c r="AR29" s="7"/>
      <c r="CF29" s="9"/>
      <c r="DY29" s="1"/>
      <c r="DZ29" s="1"/>
      <c r="EA29" s="1"/>
      <c r="ED29" s="1"/>
      <c r="EE29" s="1"/>
      <c r="EF29" s="1"/>
      <c r="EG29" s="1"/>
      <c r="EH29" s="1"/>
      <c r="EI29" s="1"/>
      <c r="EJ29" s="1"/>
      <c r="EK29" s="1"/>
      <c r="EL29" s="1"/>
      <c r="EM29" s="1"/>
      <c r="EN29" s="1"/>
      <c r="EO29" s="1"/>
      <c r="EP29" s="1"/>
      <c r="EQ29" s="1"/>
      <c r="ER29" s="1"/>
    </row>
    <row r="30" spans="2:148" ht="18" customHeight="1">
      <c r="B30" s="7"/>
      <c r="C30" s="43"/>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9"/>
      <c r="AR30" s="7"/>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9"/>
      <c r="DY30" s="1"/>
      <c r="DZ30" s="1"/>
      <c r="EA30" s="1"/>
      <c r="ED30" s="1"/>
      <c r="EE30" s="1"/>
      <c r="EF30" s="1"/>
      <c r="EG30" s="1"/>
      <c r="EH30" s="1"/>
      <c r="EI30" s="1"/>
      <c r="EJ30" s="1"/>
      <c r="EK30" s="1"/>
      <c r="EL30" s="1"/>
      <c r="EM30" s="1"/>
      <c r="EN30" s="1"/>
      <c r="EO30" s="1"/>
      <c r="EP30" s="1"/>
      <c r="EQ30" s="1"/>
      <c r="ER30" s="1"/>
    </row>
    <row r="31" spans="2:148" ht="18" customHeight="1">
      <c r="B31" s="7"/>
      <c r="C31" s="4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9"/>
      <c r="AR31" s="7"/>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9"/>
      <c r="DY31" s="1"/>
      <c r="DZ31" s="1"/>
      <c r="EA31" s="1"/>
      <c r="ED31" s="1"/>
      <c r="EE31" s="1"/>
      <c r="EF31" s="1"/>
      <c r="EG31" s="1"/>
      <c r="EH31" s="1"/>
      <c r="EI31" s="1"/>
      <c r="EJ31" s="1"/>
      <c r="EK31" s="1"/>
      <c r="EL31" s="1"/>
      <c r="EM31" s="1"/>
      <c r="EN31" s="1"/>
      <c r="EO31" s="1"/>
      <c r="EP31" s="1"/>
      <c r="EQ31" s="1"/>
      <c r="ER31" s="1"/>
    </row>
    <row r="32" spans="2:148" ht="18" customHeight="1">
      <c r="B32" s="7"/>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9"/>
      <c r="AR32" s="7"/>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9"/>
      <c r="DY32" s="1"/>
      <c r="DZ32" s="1"/>
      <c r="EA32" s="1"/>
      <c r="ED32" s="1"/>
      <c r="EE32" s="1"/>
      <c r="EF32" s="1"/>
      <c r="EG32" s="1"/>
      <c r="EH32" s="1"/>
      <c r="EI32" s="1"/>
      <c r="EJ32" s="1"/>
      <c r="EK32" s="1"/>
      <c r="EL32" s="1"/>
      <c r="EM32" s="1"/>
      <c r="EN32" s="1"/>
      <c r="EO32" s="1"/>
      <c r="EP32" s="1"/>
      <c r="EQ32" s="1"/>
      <c r="ER32" s="1"/>
    </row>
    <row r="33" spans="2:249" ht="18" customHeight="1">
      <c r="B33" s="7"/>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9"/>
      <c r="AR33" s="7"/>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9"/>
      <c r="DY33" s="1"/>
      <c r="DZ33" s="1"/>
      <c r="EA33" s="1"/>
      <c r="ED33" s="1"/>
      <c r="EE33" s="1"/>
      <c r="EF33" s="1"/>
      <c r="EG33" s="1"/>
      <c r="EH33" s="1"/>
      <c r="EI33" s="1"/>
      <c r="EJ33" s="1"/>
      <c r="EK33" s="1"/>
      <c r="EL33" s="1"/>
      <c r="EM33" s="1"/>
      <c r="EN33" s="1"/>
      <c r="EO33" s="1"/>
      <c r="EP33" s="1"/>
      <c r="EQ33" s="1"/>
      <c r="ER33" s="1"/>
    </row>
    <row r="34" spans="2:249" ht="18" customHeight="1">
      <c r="B34" s="7"/>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9"/>
      <c r="AR34" s="7"/>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9"/>
      <c r="DY34" s="1"/>
      <c r="DZ34" s="1"/>
      <c r="EA34" s="1"/>
      <c r="ED34" s="1"/>
      <c r="EE34" s="1"/>
      <c r="EF34" s="1"/>
      <c r="EG34" s="1"/>
      <c r="EH34" s="1"/>
      <c r="EI34" s="1"/>
      <c r="EJ34" s="1"/>
      <c r="EK34" s="1"/>
      <c r="EL34" s="1"/>
      <c r="EM34" s="1"/>
      <c r="EN34" s="1"/>
      <c r="EO34" s="1"/>
      <c r="EP34" s="1"/>
      <c r="EQ34" s="1"/>
      <c r="ER34" s="1"/>
    </row>
    <row r="35" spans="2:249" ht="18" customHeight="1">
      <c r="B35" s="7"/>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9"/>
      <c r="AR35" s="7"/>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9"/>
      <c r="DY35" s="1"/>
      <c r="DZ35" s="1"/>
      <c r="EA35" s="1"/>
      <c r="ED35" s="1"/>
      <c r="EE35" s="1"/>
      <c r="EF35" s="1"/>
      <c r="EG35" s="1"/>
      <c r="EH35" s="1"/>
      <c r="EI35" s="1"/>
      <c r="EJ35" s="1"/>
      <c r="EK35" s="1"/>
      <c r="EL35" s="1"/>
      <c r="EM35" s="1"/>
      <c r="EN35" s="1"/>
      <c r="EO35" s="1"/>
      <c r="EP35" s="1"/>
      <c r="EQ35" s="1"/>
      <c r="ER35" s="1"/>
      <c r="HC35" s="177"/>
      <c r="HD35" s="177"/>
      <c r="HE35" s="177"/>
      <c r="HF35" s="177"/>
      <c r="HG35" s="177"/>
      <c r="HH35" s="177"/>
      <c r="HI35" s="177"/>
      <c r="HJ35" s="177"/>
      <c r="HK35" s="177"/>
      <c r="HL35" s="177"/>
      <c r="HM35" s="177"/>
      <c r="HN35" s="177"/>
      <c r="HO35" s="177"/>
      <c r="HP35" s="177"/>
      <c r="HQ35" s="177"/>
      <c r="HR35" s="177"/>
      <c r="HS35" s="177"/>
      <c r="HT35" s="177"/>
      <c r="HU35" s="177"/>
      <c r="HV35" s="177"/>
      <c r="HW35" s="177"/>
      <c r="HX35" s="177"/>
      <c r="HY35" s="177"/>
      <c r="HZ35" s="177"/>
      <c r="IA35" s="177"/>
      <c r="IB35" s="177"/>
      <c r="IC35" s="177"/>
      <c r="ID35" s="177"/>
      <c r="IE35" s="177"/>
      <c r="IF35" s="177"/>
      <c r="IG35" s="177"/>
      <c r="IH35" s="177"/>
      <c r="II35" s="177"/>
      <c r="IJ35" s="177"/>
      <c r="IK35" s="177"/>
      <c r="IL35" s="177"/>
      <c r="IM35" s="177"/>
      <c r="IN35" s="177"/>
      <c r="IO35" s="177"/>
    </row>
    <row r="36" spans="2:249" ht="18" customHeight="1">
      <c r="B36" s="7"/>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9"/>
      <c r="AR36" s="7"/>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9"/>
      <c r="DY36" s="1"/>
      <c r="DZ36" s="1"/>
      <c r="EA36" s="1"/>
      <c r="ED36" s="1"/>
      <c r="EE36" s="1"/>
      <c r="EF36" s="1"/>
      <c r="EG36" s="1"/>
      <c r="EH36" s="1"/>
      <c r="EI36" s="1"/>
      <c r="EJ36" s="1"/>
      <c r="EK36" s="1"/>
      <c r="EL36" s="1"/>
      <c r="EM36" s="1"/>
      <c r="EN36" s="1"/>
      <c r="EO36" s="1"/>
      <c r="EP36" s="1"/>
      <c r="EQ36" s="1"/>
      <c r="ER36" s="1"/>
      <c r="HC36" s="16"/>
      <c r="HD36" s="16"/>
      <c r="HE36" s="16"/>
      <c r="HF36" s="16"/>
      <c r="HG36" s="16"/>
      <c r="HH36" s="16"/>
      <c r="HI36" s="16"/>
      <c r="HJ36" s="16"/>
      <c r="HK36" s="16"/>
      <c r="HL36" s="16"/>
      <c r="HM36" s="16"/>
      <c r="HN36" s="16"/>
      <c r="HO36" s="16"/>
      <c r="HP36" s="16"/>
      <c r="HQ36" s="16"/>
      <c r="HR36" s="18"/>
      <c r="HS36" s="178"/>
      <c r="HT36" s="179"/>
      <c r="HU36" s="180"/>
      <c r="HV36" s="22"/>
      <c r="HW36" s="16"/>
      <c r="HX36" s="16"/>
      <c r="HY36" s="16"/>
      <c r="HZ36" s="16"/>
      <c r="IA36" s="16"/>
      <c r="IB36" s="16"/>
      <c r="IC36" s="16"/>
      <c r="ID36" s="16"/>
      <c r="IE36" s="16"/>
      <c r="IF36" s="16"/>
      <c r="IG36" s="16"/>
      <c r="IH36" s="16"/>
      <c r="II36" s="16"/>
      <c r="IJ36" s="16"/>
      <c r="IK36" s="16"/>
      <c r="IL36" s="16"/>
      <c r="IM36" s="16"/>
      <c r="IN36" s="16"/>
      <c r="IO36" s="16"/>
    </row>
    <row r="37" spans="2:249" ht="18" customHeight="1">
      <c r="B37" s="7"/>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9"/>
      <c r="AR37" s="7"/>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9"/>
      <c r="DY37" s="1"/>
      <c r="DZ37" s="1"/>
      <c r="EA37" s="1"/>
      <c r="ED37" s="1"/>
      <c r="EE37" s="1"/>
      <c r="EF37" s="1"/>
      <c r="EG37" s="1"/>
      <c r="EH37" s="1"/>
      <c r="EI37" s="1"/>
      <c r="EJ37" s="1"/>
      <c r="EK37" s="1"/>
      <c r="EL37" s="1"/>
      <c r="EM37" s="1"/>
      <c r="EN37" s="1"/>
      <c r="EO37" s="1"/>
      <c r="EP37" s="1"/>
      <c r="EQ37" s="1"/>
      <c r="ER37" s="1"/>
      <c r="HC37" s="16"/>
      <c r="HD37" s="16"/>
      <c r="HE37" s="16"/>
      <c r="HF37" s="16"/>
      <c r="HG37" s="16"/>
      <c r="HH37" s="16"/>
      <c r="HI37" s="16"/>
      <c r="HJ37" s="16"/>
      <c r="HK37" s="16"/>
      <c r="HL37" s="16"/>
      <c r="HM37" s="16"/>
      <c r="HN37" s="23"/>
      <c r="HO37" s="67"/>
      <c r="HP37" s="67"/>
      <c r="HQ37" s="67"/>
      <c r="HR37" s="16"/>
      <c r="HS37" s="16"/>
      <c r="HT37" s="16"/>
      <c r="HU37" s="16"/>
      <c r="HV37" s="16"/>
      <c r="HW37" s="16"/>
      <c r="HX37" s="16"/>
      <c r="HY37" s="16"/>
      <c r="HZ37" s="16"/>
      <c r="IA37" s="16"/>
      <c r="IB37" s="16"/>
      <c r="IC37" s="16"/>
      <c r="ID37" s="16"/>
      <c r="IE37" s="16"/>
      <c r="IF37" s="16"/>
      <c r="IG37" s="16"/>
      <c r="IH37" s="16"/>
      <c r="II37" s="18"/>
      <c r="IJ37" s="64"/>
      <c r="IK37" s="64"/>
      <c r="IL37" s="64"/>
      <c r="IM37" s="16"/>
      <c r="IN37" s="16"/>
      <c r="IO37" s="16"/>
    </row>
    <row r="38" spans="2:249" ht="18" customHeight="1">
      <c r="B38" s="7"/>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9"/>
      <c r="AR38" s="7"/>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9"/>
      <c r="DY38" s="1"/>
      <c r="DZ38" s="1"/>
      <c r="EA38" s="1"/>
      <c r="ED38" s="1"/>
      <c r="EE38" s="1"/>
      <c r="EF38" s="1"/>
      <c r="EG38" s="1"/>
      <c r="EH38" s="1"/>
      <c r="EI38" s="1"/>
      <c r="EJ38" s="1"/>
      <c r="EK38" s="1"/>
      <c r="EL38" s="1"/>
      <c r="EM38" s="1"/>
      <c r="EN38" s="1"/>
      <c r="EO38" s="1"/>
      <c r="EP38" s="1"/>
      <c r="EQ38" s="1"/>
      <c r="ER38" s="1"/>
      <c r="HN38" s="23"/>
      <c r="HO38" s="64"/>
      <c r="HP38" s="64"/>
      <c r="HQ38" s="64"/>
      <c r="HR38" s="16"/>
      <c r="HS38" s="16"/>
      <c r="HT38" s="16"/>
      <c r="HU38" s="16"/>
      <c r="HV38" s="16"/>
      <c r="HW38" s="16"/>
      <c r="HX38" s="16"/>
      <c r="HY38" s="16"/>
      <c r="HZ38" s="16"/>
      <c r="IA38" s="16"/>
      <c r="IB38" s="16"/>
      <c r="IC38" s="16"/>
      <c r="ID38" s="16"/>
      <c r="IE38" s="16"/>
      <c r="IF38" s="16"/>
      <c r="IG38" s="16"/>
      <c r="IH38" s="16"/>
      <c r="II38" s="18"/>
      <c r="IJ38" s="64"/>
      <c r="IK38" s="64"/>
      <c r="IL38" s="64"/>
      <c r="IM38" s="16"/>
      <c r="IN38" s="16"/>
      <c r="IO38" s="16"/>
    </row>
    <row r="39" spans="2:249" ht="18" customHeight="1">
      <c r="B39" s="7"/>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9"/>
      <c r="AR39" s="7"/>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9"/>
      <c r="DY39" s="1"/>
      <c r="DZ39" s="1"/>
      <c r="EA39" s="1"/>
      <c r="ED39" s="1"/>
      <c r="EE39" s="1"/>
      <c r="EF39" s="1"/>
      <c r="EG39" s="1"/>
      <c r="EH39" s="1"/>
      <c r="EI39" s="1"/>
      <c r="EJ39" s="1"/>
      <c r="EK39" s="1"/>
      <c r="EL39" s="1"/>
      <c r="EM39" s="1"/>
      <c r="EN39" s="1"/>
      <c r="EO39" s="1"/>
      <c r="EP39" s="1"/>
      <c r="EQ39" s="1"/>
      <c r="ER39" s="1"/>
    </row>
    <row r="40" spans="2:249" ht="18" customHeight="1">
      <c r="B40" s="7"/>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9"/>
      <c r="AR40" s="7"/>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9"/>
      <c r="DY40" s="1"/>
      <c r="DZ40" s="1"/>
      <c r="EA40" s="1"/>
      <c r="ED40" s="1"/>
      <c r="EE40" s="1"/>
      <c r="EF40" s="1"/>
      <c r="EG40" s="1"/>
      <c r="EH40" s="1"/>
      <c r="EI40" s="1"/>
      <c r="EJ40" s="1"/>
      <c r="EK40" s="1"/>
      <c r="EL40" s="1"/>
      <c r="EM40" s="1"/>
      <c r="EN40" s="1"/>
      <c r="EO40" s="1"/>
      <c r="EP40" s="1"/>
      <c r="EQ40" s="1"/>
      <c r="ER40" s="1"/>
      <c r="II40" s="186"/>
      <c r="IJ40" s="186"/>
      <c r="IK40" s="186"/>
      <c r="IL40" s="186"/>
      <c r="IM40" s="186"/>
    </row>
    <row r="41" spans="2:249" ht="18" customHeight="1">
      <c r="B41" s="7"/>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9"/>
      <c r="AR41" s="7"/>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9"/>
      <c r="DY41" s="1"/>
      <c r="DZ41" s="1"/>
      <c r="EA41" s="1"/>
      <c r="ED41" s="1"/>
      <c r="EE41" s="1"/>
      <c r="EF41" s="1"/>
      <c r="EG41" s="1"/>
      <c r="EH41" s="1"/>
      <c r="EI41" s="1"/>
      <c r="EJ41" s="1"/>
      <c r="EK41" s="1"/>
      <c r="EL41" s="1"/>
      <c r="EM41" s="1"/>
      <c r="EN41" s="1"/>
      <c r="EO41" s="1"/>
      <c r="EP41" s="1"/>
      <c r="EQ41" s="1"/>
      <c r="ER41" s="1"/>
      <c r="II41" s="187"/>
      <c r="IJ41" s="187"/>
      <c r="IK41" s="187"/>
      <c r="IL41" s="187"/>
      <c r="IM41" s="187"/>
    </row>
    <row r="42" spans="2:249" ht="18" customHeight="1">
      <c r="B42" s="7"/>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9"/>
      <c r="AR42" s="7"/>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9"/>
      <c r="DY42" s="1"/>
      <c r="DZ42" s="1"/>
      <c r="EA42" s="1"/>
      <c r="ED42" s="1"/>
      <c r="EE42" s="1"/>
      <c r="EF42" s="1"/>
      <c r="EG42" s="1"/>
      <c r="EH42" s="1"/>
      <c r="EI42" s="1"/>
      <c r="EJ42" s="1"/>
      <c r="EK42" s="1"/>
      <c r="EL42" s="1"/>
      <c r="EM42" s="1"/>
      <c r="EN42" s="1"/>
      <c r="EO42" s="1"/>
      <c r="EP42" s="1"/>
      <c r="EQ42" s="1"/>
      <c r="ER42" s="1"/>
      <c r="II42" s="185"/>
      <c r="IJ42" s="185"/>
      <c r="IK42" s="185"/>
      <c r="IL42" s="185"/>
      <c r="IM42" s="185"/>
    </row>
    <row r="43" spans="2:249" ht="18" customHeight="1">
      <c r="B43" s="7"/>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9"/>
      <c r="AR43" s="7"/>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9"/>
      <c r="DY43" s="1"/>
      <c r="DZ43" s="1"/>
      <c r="EA43" s="1"/>
      <c r="ED43" s="1"/>
      <c r="EE43" s="1"/>
      <c r="EF43" s="1"/>
      <c r="EG43" s="1"/>
      <c r="EH43" s="1"/>
      <c r="EI43" s="1"/>
      <c r="EJ43" s="1"/>
      <c r="EK43" s="1"/>
      <c r="EL43" s="1"/>
      <c r="EM43" s="1"/>
      <c r="EN43" s="1"/>
      <c r="EO43" s="1"/>
      <c r="EP43" s="1"/>
      <c r="EQ43" s="1"/>
      <c r="ER43" s="1"/>
      <c r="II43" s="64"/>
      <c r="IJ43" s="64"/>
      <c r="IK43" s="64"/>
      <c r="IL43" s="64"/>
      <c r="IM43" s="64"/>
    </row>
    <row r="44" spans="2:249" ht="18" customHeight="1">
      <c r="B44" s="7"/>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9"/>
      <c r="AR44" s="7"/>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9"/>
      <c r="DY44" s="1"/>
      <c r="DZ44" s="1"/>
      <c r="EA44" s="1"/>
      <c r="ED44" s="1"/>
      <c r="EE44" s="1"/>
      <c r="EF44" s="1"/>
      <c r="EG44" s="1"/>
      <c r="EH44" s="1"/>
      <c r="EI44" s="1"/>
      <c r="EJ44" s="1"/>
      <c r="EK44" s="1"/>
      <c r="EL44" s="1"/>
      <c r="EM44" s="1"/>
      <c r="EN44" s="1"/>
      <c r="EO44" s="1"/>
      <c r="EP44" s="1"/>
      <c r="EQ44" s="1"/>
      <c r="ER44" s="1"/>
      <c r="II44" s="64"/>
      <c r="IJ44" s="64"/>
      <c r="IK44" s="64"/>
      <c r="IL44" s="64"/>
      <c r="IM44" s="64"/>
    </row>
    <row r="45" spans="2:249" ht="18" customHeight="1">
      <c r="B45" s="7"/>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9"/>
      <c r="AR45" s="7"/>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9"/>
      <c r="DY45" s="1"/>
      <c r="DZ45" s="1"/>
      <c r="EA45" s="1"/>
      <c r="ED45" s="1"/>
      <c r="EE45" s="1"/>
      <c r="EF45" s="1"/>
      <c r="EG45" s="1"/>
      <c r="EH45" s="1"/>
      <c r="EI45" s="1"/>
      <c r="EJ45" s="1"/>
      <c r="EK45" s="1"/>
      <c r="EL45" s="1"/>
      <c r="EM45" s="1"/>
      <c r="EN45" s="1"/>
      <c r="EO45" s="1"/>
      <c r="EP45" s="1"/>
      <c r="EQ45" s="1"/>
      <c r="ER45" s="1"/>
      <c r="II45" s="64"/>
      <c r="IJ45" s="64"/>
      <c r="IK45" s="64"/>
      <c r="IL45" s="64"/>
      <c r="IM45" s="64"/>
    </row>
    <row r="46" spans="2:249" ht="18" customHeight="1">
      <c r="B46" s="7"/>
      <c r="AP46" s="25"/>
      <c r="AR46" s="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9"/>
      <c r="DY46" s="1"/>
      <c r="DZ46" s="1"/>
      <c r="EA46" s="1"/>
      <c r="ED46" s="1"/>
      <c r="EE46" s="1"/>
      <c r="EF46" s="1"/>
      <c r="EG46" s="1"/>
      <c r="EH46" s="1"/>
      <c r="EI46" s="1"/>
      <c r="EJ46" s="1"/>
      <c r="EK46" s="1"/>
      <c r="EL46" s="1"/>
      <c r="EM46" s="1"/>
      <c r="EN46" s="1"/>
      <c r="EO46" s="1"/>
      <c r="EP46" s="1"/>
      <c r="EQ46" s="1"/>
      <c r="ER46" s="1"/>
      <c r="II46" s="64"/>
      <c r="IJ46" s="64"/>
      <c r="IK46" s="64"/>
      <c r="IL46" s="64"/>
      <c r="IM46" s="64"/>
    </row>
    <row r="47" spans="2:249" ht="18" customHeight="1" thickBot="1">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Y47" s="1"/>
      <c r="DZ47" s="1"/>
      <c r="EA47" s="1"/>
      <c r="ED47" s="1"/>
      <c r="EE47" s="1"/>
      <c r="EF47" s="1"/>
      <c r="EG47" s="1"/>
      <c r="EH47" s="1"/>
      <c r="EI47" s="1"/>
      <c r="EJ47" s="1"/>
      <c r="EK47" s="1"/>
      <c r="EL47" s="1"/>
      <c r="EM47" s="1"/>
      <c r="EN47" s="1"/>
      <c r="EO47" s="1"/>
      <c r="EP47" s="1"/>
      <c r="EQ47" s="1"/>
      <c r="ER47" s="1"/>
      <c r="II47" s="64"/>
      <c r="IJ47" s="64"/>
      <c r="IK47" s="64"/>
      <c r="IL47" s="64"/>
      <c r="IM47" s="64"/>
    </row>
    <row r="48" spans="2:249" ht="18" customHeight="1">
      <c r="B48" s="7"/>
      <c r="D48" s="26" t="s">
        <v>4</v>
      </c>
      <c r="AP48" s="9"/>
      <c r="AR48" s="7"/>
      <c r="AT48" s="26" t="s">
        <v>4</v>
      </c>
      <c r="CE48" s="15" t="s">
        <v>5</v>
      </c>
      <c r="CF48" s="9"/>
      <c r="DY48" s="1"/>
      <c r="DZ48" s="1"/>
      <c r="EA48" s="1"/>
      <c r="ED48" s="1"/>
      <c r="EE48" s="1"/>
      <c r="EF48" s="1"/>
      <c r="EG48" s="1"/>
      <c r="EH48" s="1"/>
      <c r="EI48" s="1"/>
      <c r="EJ48" s="1"/>
      <c r="EK48" s="1"/>
      <c r="EL48" s="1"/>
      <c r="EM48" s="1"/>
      <c r="EN48" s="1"/>
      <c r="EO48" s="1"/>
      <c r="EP48" s="1"/>
      <c r="EQ48" s="1"/>
      <c r="ER48" s="1"/>
      <c r="II48" s="64"/>
      <c r="IJ48" s="64"/>
      <c r="IK48" s="64"/>
      <c r="IL48" s="64"/>
      <c r="IM48" s="64"/>
    </row>
    <row r="49" spans="2:247" ht="18" customHeight="1">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40</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c r="DY49" s="1"/>
      <c r="DZ49" s="1"/>
      <c r="EA49" s="1"/>
      <c r="ED49" s="1"/>
      <c r="EE49" s="1"/>
      <c r="EF49" s="1"/>
      <c r="EG49" s="1"/>
      <c r="EH49" s="1"/>
      <c r="EI49" s="1"/>
      <c r="EJ49" s="1"/>
      <c r="EK49" s="1"/>
      <c r="EL49" s="1"/>
      <c r="EM49" s="1"/>
      <c r="EN49" s="1"/>
      <c r="EO49" s="1"/>
      <c r="EP49" s="1"/>
      <c r="EQ49" s="1"/>
      <c r="ER49" s="1"/>
      <c r="II49" s="64"/>
      <c r="IJ49" s="64"/>
      <c r="IK49" s="64"/>
      <c r="IL49" s="64"/>
      <c r="IM49" s="64"/>
    </row>
    <row r="50" spans="2:247" ht="18" customHeight="1">
      <c r="DY50" s="1"/>
      <c r="DZ50" s="1"/>
      <c r="EA50" s="1"/>
      <c r="ED50" s="1"/>
      <c r="EE50" s="1"/>
      <c r="EF50" s="1"/>
      <c r="EG50" s="1"/>
      <c r="EH50" s="1"/>
      <c r="EI50" s="1"/>
      <c r="EJ50" s="1"/>
      <c r="EK50" s="1"/>
      <c r="EL50" s="1"/>
      <c r="EM50" s="1"/>
      <c r="EN50" s="1"/>
      <c r="EO50" s="1"/>
      <c r="EP50" s="1"/>
      <c r="EQ50" s="1"/>
      <c r="ER50" s="1"/>
      <c r="II50" s="64"/>
      <c r="IJ50" s="64"/>
      <c r="IK50" s="64"/>
      <c r="IL50" s="64"/>
      <c r="IM50" s="64"/>
    </row>
    <row r="51" spans="2:247" ht="18" customHeight="1">
      <c r="DY51" s="1"/>
      <c r="DZ51" s="1"/>
      <c r="EA51" s="1"/>
      <c r="ED51" s="1"/>
      <c r="EE51" s="1"/>
      <c r="EF51" s="1"/>
      <c r="EG51" s="1"/>
      <c r="EH51" s="1"/>
      <c r="EI51" s="1"/>
      <c r="EJ51" s="1"/>
      <c r="EK51" s="1"/>
      <c r="EL51" s="1"/>
      <c r="EM51" s="1"/>
      <c r="EN51" s="1"/>
      <c r="EO51" s="1"/>
      <c r="EP51" s="1"/>
      <c r="EQ51" s="1"/>
      <c r="ER51" s="1"/>
      <c r="II51" s="64"/>
      <c r="IJ51" s="64"/>
      <c r="IK51" s="64"/>
      <c r="IL51" s="64"/>
      <c r="IM51" s="64"/>
    </row>
    <row r="52" spans="2:247" ht="18" customHeight="1">
      <c r="DY52" s="1"/>
      <c r="DZ52" s="1"/>
      <c r="EA52" s="1"/>
      <c r="ED52" s="1"/>
      <c r="EE52" s="1"/>
      <c r="EF52" s="1"/>
      <c r="EG52" s="1"/>
      <c r="EH52" s="1"/>
      <c r="EI52" s="1"/>
      <c r="EJ52" s="1"/>
      <c r="EK52" s="1"/>
      <c r="EL52" s="1"/>
      <c r="EM52" s="1"/>
      <c r="EN52" s="1"/>
      <c r="EO52" s="1"/>
      <c r="EP52" s="1"/>
      <c r="EQ52" s="1"/>
      <c r="ER52" s="1"/>
      <c r="II52" s="64"/>
      <c r="IJ52" s="64"/>
      <c r="IK52" s="64"/>
      <c r="IL52" s="64"/>
      <c r="IM52" s="64"/>
    </row>
    <row r="53" spans="2:247" ht="18" customHeight="1">
      <c r="DY53" s="1"/>
      <c r="DZ53" s="1"/>
      <c r="EA53" s="1"/>
      <c r="ED53" s="1"/>
      <c r="EE53" s="1"/>
      <c r="EF53" s="1"/>
      <c r="EG53" s="1"/>
      <c r="EH53" s="1"/>
      <c r="EI53" s="1"/>
      <c r="EJ53" s="1"/>
      <c r="EK53" s="1"/>
      <c r="EL53" s="1"/>
      <c r="EM53" s="1"/>
      <c r="EN53" s="1"/>
      <c r="EO53" s="1"/>
      <c r="EP53" s="1"/>
      <c r="EQ53" s="1"/>
      <c r="ER53" s="1"/>
      <c r="II53" s="64"/>
      <c r="IJ53" s="64"/>
      <c r="IK53" s="64"/>
      <c r="IL53" s="64"/>
      <c r="IM53" s="64"/>
    </row>
    <row r="54" spans="2:247" ht="18" customHeight="1">
      <c r="DY54" s="1"/>
      <c r="DZ54" s="1"/>
      <c r="EA54" s="1"/>
      <c r="ED54" s="1"/>
      <c r="EE54" s="1"/>
      <c r="EF54" s="1"/>
      <c r="EG54" s="1"/>
      <c r="EH54" s="1"/>
      <c r="EI54" s="1"/>
      <c r="EJ54" s="1"/>
      <c r="EK54" s="1"/>
      <c r="EL54" s="1"/>
      <c r="EM54" s="1"/>
      <c r="EN54" s="1"/>
      <c r="EO54" s="1"/>
      <c r="EP54" s="1"/>
      <c r="EQ54" s="1"/>
      <c r="ER54" s="1"/>
      <c r="II54" s="64"/>
      <c r="IJ54" s="64"/>
      <c r="IK54" s="64"/>
      <c r="IL54" s="64"/>
      <c r="IM54" s="64"/>
    </row>
    <row r="55" spans="2:247" ht="18" customHeight="1">
      <c r="DY55" s="1"/>
      <c r="DZ55" s="1"/>
      <c r="EA55" s="1"/>
      <c r="ED55" s="1"/>
      <c r="EE55" s="1"/>
      <c r="EF55" s="1"/>
      <c r="EG55" s="1"/>
      <c r="EH55" s="1"/>
      <c r="EI55" s="1"/>
      <c r="EJ55" s="1"/>
      <c r="EK55" s="1"/>
      <c r="EL55" s="1"/>
      <c r="EM55" s="1"/>
      <c r="EN55" s="1"/>
      <c r="EO55" s="1"/>
      <c r="EP55" s="1"/>
      <c r="EQ55" s="1"/>
      <c r="ER55" s="1"/>
      <c r="II55" s="64"/>
      <c r="IJ55" s="64"/>
      <c r="IK55" s="64"/>
      <c r="IL55" s="64"/>
      <c r="IM55" s="64"/>
    </row>
    <row r="56" spans="2:247" ht="18" customHeight="1">
      <c r="DY56" s="1"/>
      <c r="DZ56" s="1"/>
      <c r="EA56" s="1"/>
      <c r="ED56" s="1"/>
      <c r="EE56" s="1"/>
      <c r="EF56" s="1"/>
      <c r="EG56" s="1"/>
      <c r="EH56" s="1"/>
      <c r="EI56" s="1"/>
      <c r="EJ56" s="1"/>
      <c r="EK56" s="1"/>
      <c r="EL56" s="1"/>
      <c r="EM56" s="1"/>
      <c r="EN56" s="1"/>
      <c r="EO56" s="1"/>
      <c r="EP56" s="1"/>
      <c r="EQ56" s="1"/>
      <c r="ER56" s="1"/>
      <c r="II56" s="64"/>
      <c r="IJ56" s="64"/>
      <c r="IK56" s="64"/>
      <c r="IL56" s="64"/>
      <c r="IM56" s="64"/>
    </row>
    <row r="57" spans="2:247" ht="18" customHeight="1">
      <c r="DY57" s="1"/>
      <c r="DZ57" s="1"/>
      <c r="EA57" s="1"/>
      <c r="ED57" s="1"/>
      <c r="EE57" s="1"/>
      <c r="EF57" s="1"/>
      <c r="EG57" s="1"/>
      <c r="EH57" s="1"/>
      <c r="EI57" s="1"/>
      <c r="EJ57" s="1"/>
      <c r="EK57" s="1"/>
      <c r="EL57" s="1"/>
      <c r="EM57" s="1"/>
      <c r="EN57" s="1"/>
      <c r="EO57" s="1"/>
      <c r="EP57" s="1"/>
      <c r="EQ57" s="1"/>
      <c r="ER57" s="1"/>
      <c r="II57" s="184"/>
      <c r="IJ57" s="184"/>
      <c r="IK57" s="184"/>
      <c r="IL57" s="184"/>
      <c r="IM57" s="184"/>
    </row>
    <row r="58" spans="2:247" ht="18" customHeight="1">
      <c r="DY58" s="1"/>
      <c r="DZ58" s="1"/>
      <c r="EA58" s="1"/>
      <c r="ED58" s="1"/>
      <c r="EE58" s="1"/>
      <c r="EF58" s="1"/>
      <c r="EG58" s="1"/>
      <c r="EH58" s="1"/>
      <c r="EI58" s="1"/>
      <c r="EJ58" s="1"/>
      <c r="EK58" s="1"/>
      <c r="EL58" s="1"/>
      <c r="EM58" s="1"/>
      <c r="EN58" s="1"/>
      <c r="EO58" s="1"/>
      <c r="EP58" s="1"/>
      <c r="EQ58" s="1"/>
      <c r="ER58" s="1"/>
      <c r="II58" s="185"/>
      <c r="IJ58" s="185"/>
      <c r="IK58" s="185"/>
      <c r="IL58" s="185"/>
      <c r="IM58" s="185"/>
    </row>
    <row r="59" spans="2:247" ht="18" customHeight="1">
      <c r="DY59" s="1"/>
      <c r="DZ59" s="1"/>
      <c r="EA59" s="1"/>
      <c r="ED59" s="1"/>
      <c r="EE59" s="1"/>
      <c r="EF59" s="1"/>
      <c r="EG59" s="1"/>
      <c r="EH59" s="1"/>
      <c r="EI59" s="1"/>
      <c r="EJ59" s="1"/>
      <c r="EK59" s="1"/>
      <c r="EL59" s="1"/>
      <c r="EM59" s="1"/>
      <c r="EN59" s="1"/>
      <c r="EO59" s="1"/>
      <c r="EP59" s="1"/>
      <c r="EQ59" s="1"/>
      <c r="ER59" s="1"/>
    </row>
    <row r="60" spans="2:247" ht="18" customHeight="1">
      <c r="DY60" s="1"/>
      <c r="DZ60" s="1"/>
      <c r="EA60" s="1"/>
      <c r="ED60" s="1"/>
      <c r="EE60" s="1"/>
      <c r="EF60" s="1"/>
      <c r="EG60" s="1"/>
      <c r="EH60" s="1"/>
      <c r="EI60" s="1"/>
      <c r="EJ60" s="1"/>
      <c r="EK60" s="1"/>
      <c r="EL60" s="1"/>
      <c r="EM60" s="1"/>
      <c r="EN60" s="1"/>
      <c r="EO60" s="1"/>
      <c r="EP60" s="1"/>
      <c r="EQ60" s="1"/>
      <c r="ER60" s="1"/>
      <c r="HL60" s="181"/>
      <c r="HM60" s="181"/>
      <c r="HN60" s="181"/>
      <c r="HO60" s="181"/>
      <c r="HP60" s="181"/>
      <c r="HQ60" s="181"/>
      <c r="HR60" s="181"/>
      <c r="HS60" s="181"/>
      <c r="HT60" s="181"/>
      <c r="HU60" s="181"/>
      <c r="HV60" s="181"/>
      <c r="HW60" s="181"/>
      <c r="HX60" s="181"/>
      <c r="HY60" s="181"/>
      <c r="HZ60" s="182"/>
      <c r="IA60" s="182"/>
      <c r="IB60" s="182"/>
      <c r="IC60" s="182"/>
    </row>
    <row r="61" spans="2:247" ht="18" customHeight="1">
      <c r="DY61" s="1"/>
      <c r="DZ61" s="1"/>
      <c r="EA61" s="1"/>
      <c r="ED61" s="1"/>
      <c r="EE61" s="1"/>
      <c r="EF61" s="1"/>
      <c r="EG61" s="1"/>
      <c r="EH61" s="1"/>
      <c r="EI61" s="1"/>
      <c r="EJ61" s="1"/>
      <c r="EK61" s="1"/>
      <c r="EL61" s="1"/>
      <c r="EM61" s="1"/>
      <c r="EN61" s="1"/>
      <c r="EO61" s="1"/>
      <c r="EP61" s="1"/>
      <c r="EQ61" s="1"/>
      <c r="ER61" s="1"/>
    </row>
    <row r="62" spans="2:247" ht="18" customHeight="1">
      <c r="DY62" s="1"/>
      <c r="DZ62" s="1"/>
      <c r="EA62" s="1"/>
      <c r="ED62" s="1"/>
      <c r="EE62" s="1"/>
      <c r="EF62" s="1"/>
      <c r="EG62" s="1"/>
      <c r="EH62" s="1"/>
      <c r="EI62" s="1"/>
      <c r="EJ62" s="1"/>
      <c r="EK62" s="1"/>
      <c r="EL62" s="1"/>
      <c r="EM62" s="1"/>
      <c r="EN62" s="1"/>
      <c r="EO62" s="1"/>
      <c r="EP62" s="1"/>
      <c r="EQ62" s="1"/>
      <c r="ER62" s="1"/>
    </row>
    <row r="63" spans="2:247" ht="18" customHeight="1">
      <c r="DY63" s="1"/>
      <c r="DZ63" s="1"/>
      <c r="EA63" s="1"/>
      <c r="ED63" s="1"/>
      <c r="EE63" s="1"/>
      <c r="EF63" s="1"/>
      <c r="EG63" s="1"/>
      <c r="EH63" s="1"/>
      <c r="EI63" s="1"/>
      <c r="EJ63" s="1"/>
      <c r="EK63" s="1"/>
      <c r="EL63" s="1"/>
      <c r="EM63" s="1"/>
      <c r="EN63" s="1"/>
      <c r="EO63" s="1"/>
      <c r="EP63" s="1"/>
      <c r="EQ63" s="1"/>
      <c r="ER63" s="1"/>
    </row>
    <row r="64" spans="2:247" ht="18" customHeight="1">
      <c r="DY64" s="1"/>
      <c r="DZ64" s="1"/>
      <c r="EA64" s="1"/>
      <c r="ED64" s="1"/>
      <c r="EE64" s="1"/>
      <c r="EF64" s="1"/>
      <c r="EG64" s="1"/>
      <c r="EH64" s="1"/>
      <c r="EI64" s="1"/>
      <c r="EJ64" s="1"/>
      <c r="EK64" s="1"/>
      <c r="EL64" s="1"/>
      <c r="EM64" s="1"/>
      <c r="EN64" s="1"/>
      <c r="EO64" s="1"/>
      <c r="EP64" s="1"/>
      <c r="EQ64" s="1"/>
      <c r="ER64" s="1"/>
    </row>
    <row r="65" s="1" customFormat="1" ht="18" customHeight="1"/>
    <row r="66" s="1" customFormat="1" ht="18" customHeight="1"/>
    <row r="67" s="1" customFormat="1" ht="18" customHeight="1"/>
    <row r="68" s="1" customFormat="1" ht="18" customHeight="1"/>
    <row r="69" s="1" customFormat="1" ht="18" customHeight="1"/>
    <row r="70" s="1" customFormat="1" ht="18" customHeight="1"/>
    <row r="71" s="1" customFormat="1" ht="18" customHeight="1"/>
    <row r="72" s="1" customFormat="1" ht="18" customHeight="1"/>
    <row r="73" s="1" customFormat="1" ht="18" customHeight="1"/>
    <row r="74" s="1" customFormat="1" ht="18" customHeight="1"/>
    <row r="75" s="1" customFormat="1" ht="18" customHeight="1"/>
    <row r="76" s="1" customFormat="1" ht="18" customHeight="1"/>
    <row r="77" s="1" customFormat="1" ht="18" customHeight="1"/>
    <row r="78" s="1" customFormat="1" ht="18" customHeight="1"/>
    <row r="79" s="1" customFormat="1" ht="18" customHeight="1"/>
    <row r="80" s="1" customFormat="1" ht="18" customHeight="1"/>
    <row r="81" s="1" customFormat="1" ht="18" customHeight="1"/>
    <row r="82" s="1" customFormat="1" ht="18" customHeight="1"/>
    <row r="83" s="1" customFormat="1" ht="18" customHeight="1"/>
    <row r="84" s="1" customFormat="1" ht="18" customHeight="1"/>
    <row r="85" s="1" customFormat="1" ht="18" customHeight="1"/>
    <row r="86" s="1" customFormat="1" ht="18" customHeight="1"/>
    <row r="87" s="1" customFormat="1" ht="18" customHeight="1"/>
    <row r="88" s="1" customFormat="1" ht="18" customHeight="1"/>
    <row r="89" s="1" customFormat="1" ht="18" customHeight="1"/>
    <row r="90" s="1" customFormat="1" ht="18" customHeight="1"/>
    <row r="91" s="1" customFormat="1" ht="18" customHeight="1"/>
    <row r="92" s="1" customFormat="1" ht="18" customHeight="1"/>
    <row r="93" s="1" customFormat="1" ht="18" customHeight="1"/>
    <row r="94" s="1" customFormat="1" ht="18" customHeight="1"/>
    <row r="95" s="1" customFormat="1" ht="18" customHeight="1"/>
    <row r="96" s="1" customFormat="1" ht="18" customHeight="1"/>
    <row r="97" s="1" customFormat="1" ht="18" customHeight="1"/>
    <row r="98" s="1" customFormat="1" ht="18" customHeight="1"/>
    <row r="99" s="1" customFormat="1" ht="18" customHeight="1"/>
    <row r="100" s="1" customFormat="1" ht="18" customHeight="1"/>
    <row r="101" s="1" customFormat="1" ht="18" customHeight="1"/>
    <row r="102" s="1" customFormat="1" ht="18" customHeight="1"/>
    <row r="103" s="1" customFormat="1" ht="18" customHeight="1"/>
    <row r="104" s="1" customFormat="1" ht="18" customHeight="1"/>
    <row r="105" s="1" customFormat="1" ht="18" customHeight="1"/>
    <row r="106" s="1" customFormat="1" ht="18" customHeight="1"/>
    <row r="107" s="1" customFormat="1" ht="18" customHeight="1"/>
    <row r="108" s="1" customFormat="1" ht="18" customHeight="1"/>
    <row r="109" s="1" customFormat="1" ht="18" customHeight="1"/>
    <row r="110" s="1" customFormat="1" ht="18" customHeight="1"/>
    <row r="111" s="1" customFormat="1" ht="18" customHeight="1"/>
    <row r="112" s="1" customFormat="1" ht="18" customHeight="1"/>
    <row r="113" s="1" customFormat="1" ht="18" customHeight="1"/>
    <row r="114" s="1" customFormat="1" ht="18" customHeight="1"/>
    <row r="115" s="1" customFormat="1" ht="18" customHeight="1"/>
    <row r="116" s="1" customFormat="1" ht="18" customHeight="1"/>
    <row r="117" s="1" customFormat="1" ht="18" customHeight="1"/>
    <row r="118" s="1" customFormat="1" ht="18" customHeight="1"/>
    <row r="119" s="1" customFormat="1" ht="18" customHeight="1"/>
    <row r="120" s="1" customFormat="1" ht="18" customHeight="1"/>
    <row r="121" s="1" customFormat="1" ht="18" customHeight="1"/>
    <row r="122" s="1" customFormat="1" ht="18" customHeight="1"/>
    <row r="123" s="1" customFormat="1" ht="18" customHeight="1"/>
    <row r="124" s="1" customFormat="1" ht="18" customHeight="1"/>
    <row r="125" s="1" customFormat="1" ht="18" customHeight="1"/>
    <row r="126" s="1" customFormat="1" ht="18" customHeight="1"/>
    <row r="127" s="1" customFormat="1" ht="18" customHeight="1"/>
    <row r="128" s="1" customFormat="1" ht="18" customHeight="1"/>
    <row r="129" s="1" customFormat="1" ht="18" customHeight="1"/>
    <row r="130" s="1" customFormat="1" ht="18" customHeight="1"/>
    <row r="131" s="1" customFormat="1" ht="18" customHeight="1"/>
    <row r="132" s="1" customFormat="1" ht="18" customHeight="1"/>
    <row r="133" s="1" customFormat="1" ht="18" customHeight="1"/>
    <row r="134" s="1" customFormat="1" ht="18" customHeight="1"/>
    <row r="135" s="1" customFormat="1" ht="18" customHeight="1"/>
    <row r="136" s="1" customFormat="1" ht="18" customHeight="1"/>
    <row r="137" s="1" customFormat="1" ht="18" customHeight="1"/>
    <row r="138" s="1" customFormat="1" ht="18" customHeight="1"/>
    <row r="139" s="1" customFormat="1" ht="18" customHeight="1"/>
    <row r="140" s="1" customFormat="1" ht="18" customHeight="1"/>
    <row r="141" s="1" customFormat="1" ht="18" customHeight="1"/>
    <row r="142" s="1" customFormat="1" ht="18" customHeight="1"/>
    <row r="143" s="1" customFormat="1" ht="18" customHeight="1"/>
    <row r="144" s="1" customFormat="1" ht="18" customHeight="1"/>
    <row r="145" s="1" customFormat="1" ht="18" customHeight="1"/>
    <row r="146" s="1" customFormat="1" ht="18" customHeight="1"/>
    <row r="147" s="1" customFormat="1" ht="18" customHeight="1"/>
    <row r="148" s="1" customFormat="1" ht="18" customHeight="1"/>
    <row r="149" s="1" customFormat="1" ht="18" customHeight="1"/>
    <row r="150" s="1" customFormat="1" ht="18" customHeight="1"/>
    <row r="151" s="1" customFormat="1" ht="18" customHeight="1"/>
    <row r="152" s="1" customFormat="1" ht="18" customHeight="1"/>
    <row r="153" s="1" customFormat="1" ht="18" customHeight="1"/>
    <row r="154" s="1" customFormat="1" ht="18" customHeight="1"/>
    <row r="155" s="1" customFormat="1" ht="18" customHeight="1"/>
    <row r="156" s="1" customFormat="1" ht="18" customHeight="1"/>
    <row r="157" s="1" customFormat="1" ht="18" customHeight="1"/>
    <row r="158" s="1" customFormat="1" ht="18" customHeight="1"/>
    <row r="159" s="1" customFormat="1" ht="18" customHeight="1"/>
    <row r="160" s="1" customFormat="1" ht="18" customHeight="1"/>
    <row r="161" s="1" customFormat="1" ht="18" customHeight="1"/>
    <row r="162" s="1" customFormat="1" ht="18" customHeight="1"/>
    <row r="163" s="1" customFormat="1" ht="18" customHeight="1"/>
    <row r="164" s="1" customFormat="1" ht="18" customHeight="1"/>
    <row r="165" s="1" customFormat="1" ht="18" customHeight="1"/>
    <row r="166" s="1" customFormat="1" ht="18" customHeight="1"/>
    <row r="167" s="1" customFormat="1" ht="18" customHeight="1"/>
    <row r="168" s="1" customFormat="1" ht="18" customHeight="1"/>
    <row r="169" s="1" customFormat="1" ht="18" customHeight="1"/>
    <row r="170" s="1" customFormat="1" ht="18" customHeight="1"/>
    <row r="171" s="1" customFormat="1" ht="18" customHeight="1"/>
    <row r="172" s="1" customFormat="1" ht="18" customHeight="1"/>
    <row r="173" s="1" customFormat="1" ht="18" customHeight="1"/>
    <row r="174" s="1" customFormat="1" ht="18" customHeight="1"/>
    <row r="175" s="1" customFormat="1" ht="18" customHeight="1"/>
    <row r="176" s="1" customFormat="1" ht="18" customHeight="1"/>
    <row r="177" s="1" customFormat="1" ht="18" customHeight="1"/>
    <row r="178" s="1" customFormat="1" ht="18" customHeight="1"/>
    <row r="179" s="1" customFormat="1" ht="18" customHeight="1"/>
    <row r="180" s="1" customFormat="1" ht="18" customHeight="1"/>
    <row r="181" s="1" customFormat="1" ht="18" customHeight="1"/>
    <row r="182" s="1" customFormat="1" ht="18" customHeight="1"/>
    <row r="183" s="1" customFormat="1" ht="18" customHeight="1"/>
    <row r="184" s="1" customFormat="1" ht="18" customHeight="1"/>
    <row r="185" s="1" customFormat="1" ht="18" customHeight="1"/>
    <row r="186" s="1" customFormat="1" ht="18" customHeight="1"/>
    <row r="187" s="1" customFormat="1" ht="18" customHeight="1"/>
    <row r="188" s="1" customFormat="1" ht="18" customHeight="1"/>
    <row r="189" s="1" customFormat="1" ht="18" customHeight="1"/>
    <row r="190" s="1" customFormat="1" ht="18" customHeight="1"/>
    <row r="191" s="1" customFormat="1" ht="18" customHeight="1"/>
    <row r="192" s="1" customFormat="1" ht="18" customHeight="1"/>
    <row r="193" s="1" customFormat="1" ht="18" customHeight="1"/>
    <row r="194" s="1" customFormat="1" ht="18" customHeight="1"/>
    <row r="195" s="1" customFormat="1" ht="18" customHeight="1"/>
    <row r="196" s="1" customFormat="1" ht="18" customHeight="1"/>
    <row r="197" s="1" customFormat="1" ht="18" customHeight="1"/>
    <row r="198" s="1" customFormat="1" ht="18" customHeigh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305" ht="18.75" customHeight="1"/>
  </sheetData>
  <sheetProtection algorithmName="SHA-512" hashValue="Yk2nanwMITB1Fjzv4kAWiNPxMrdVH6e2R5XFmedHqkKo5pTdxly/O1eFPdt1JR4zGc/CYyGETwjSvo1vmozIWQ==" saltValue="hPFzneAe6BGUIHD5e0aefA==" spinCount="100000" sheet="1" objects="1" scenarios="1"/>
  <mergeCells count="27">
    <mergeCell ref="C8:AO9"/>
    <mergeCell ref="II55:IM55"/>
    <mergeCell ref="II56:IM56"/>
    <mergeCell ref="II57:IM57"/>
    <mergeCell ref="II58:IM58"/>
    <mergeCell ref="II46:IM46"/>
    <mergeCell ref="II47:IM47"/>
    <mergeCell ref="II48:IM48"/>
    <mergeCell ref="II49:IM49"/>
    <mergeCell ref="II42:IM42"/>
    <mergeCell ref="II43:IM43"/>
    <mergeCell ref="II44:IM44"/>
    <mergeCell ref="II45:IM45"/>
    <mergeCell ref="II40:IM41"/>
    <mergeCell ref="HO37:HQ37"/>
    <mergeCell ref="IJ37:IL37"/>
    <mergeCell ref="HO38:HQ38"/>
    <mergeCell ref="IJ38:IL38"/>
    <mergeCell ref="HC35:IO35"/>
    <mergeCell ref="HS36:HU36"/>
    <mergeCell ref="HL60:HY60"/>
    <mergeCell ref="HZ60:IC60"/>
    <mergeCell ref="II50:IM50"/>
    <mergeCell ref="II51:IM51"/>
    <mergeCell ref="II52:IM52"/>
    <mergeCell ref="II53:IM53"/>
    <mergeCell ref="II54:IM54"/>
  </mergeCell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E929C-CE36-44C8-9EAF-5439CCC7857E}">
  <sheetPr>
    <pageSetUpPr fitToPage="1"/>
  </sheetPr>
  <dimension ref="B1:HJ195"/>
  <sheetViews>
    <sheetView tabSelected="1" zoomScale="115" zoomScaleNormal="115" workbookViewId="0">
      <selection activeCell="N30" sqref="N30:P30"/>
    </sheetView>
  </sheetViews>
  <sheetFormatPr defaultColWidth="9.140625" defaultRowHeight="15"/>
  <cols>
    <col min="1" max="84" width="2.7109375" style="1" customWidth="1"/>
    <col min="85" max="128" width="2.7109375" style="1" hidden="1" customWidth="1"/>
    <col min="129" max="131" width="2.7109375" style="2" hidden="1" customWidth="1"/>
    <col min="132" max="133" width="2.7109375" style="1" hidden="1" customWidth="1"/>
    <col min="134" max="148" width="2.7109375" style="3" hidden="1" customWidth="1"/>
    <col min="149" max="180" width="2.7109375" style="1" hidden="1" customWidth="1"/>
    <col min="181" max="218" width="9.140625" style="1" hidden="1" customWidth="1"/>
    <col min="219" max="236" width="9.140625" style="1" customWidth="1"/>
    <col min="237" max="249" width="2.7109375" style="1" customWidth="1"/>
    <col min="250" max="250" width="9.140625" style="1" customWidth="1"/>
    <col min="251" max="16384" width="9.140625" style="1"/>
  </cols>
  <sheetData>
    <row r="1" spans="2:183" ht="18" customHeight="1"/>
    <row r="2" spans="2:183" ht="18" customHeight="1">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c r="CK2" s="10" t="s">
        <v>29</v>
      </c>
      <c r="CL2" s="133" t="e" cm="1">
        <f t="array" ref="CL2">_xlfn.LET(
_xlpm.L,#REF!,
_xlpm.K,#REF!,
_xlpm.ADD,$AN$86+$AN$87,
_xlpm.INV,SUMPRODUCT(--(_xlpm.K&gt;0),IF(_xlpm.L&gt;0,1/(_xlpm.L+_xlpm.ADD),0)),
IF(_xlpm.INV=0,0,1/_xlpm.INV)
)</f>
        <v>#REF!</v>
      </c>
      <c r="CM2" s="133"/>
      <c r="CN2" s="133"/>
      <c r="CO2" s="133"/>
      <c r="CP2" s="1" t="s">
        <v>22</v>
      </c>
      <c r="CS2" s="82" t="s">
        <v>19</v>
      </c>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Y2" s="1"/>
      <c r="DZ2" s="1"/>
      <c r="EA2" s="1"/>
      <c r="EM2" s="3" t="s">
        <v>58</v>
      </c>
      <c r="ER2" s="1"/>
      <c r="FZ2" s="1" t="s">
        <v>61</v>
      </c>
    </row>
    <row r="3" spans="2:183" ht="18" customHeight="1">
      <c r="B3" s="7"/>
      <c r="AO3" s="8" t="s">
        <v>0</v>
      </c>
      <c r="AP3" s="9"/>
      <c r="AR3" s="7"/>
      <c r="CF3" s="9"/>
      <c r="CK3" s="10" t="s">
        <v>30</v>
      </c>
      <c r="CL3" s="133" cm="1">
        <f t="array" ref="CL3">_xlfn.LET(
_xlpm.L,N30:N32,
_xlpm.K,K30:K32,
_xlpm.ADD,$AN$86+$AN$87,
_xlpm.INV,SUMPRODUCT(--(_xlpm.K&gt;0),IF(_xlpm.L&gt;0,1/(_xlpm.L+_xlpm.ADD),0)),
IF(_xlpm.INV=0,0,1/_xlpm.INV)
)</f>
        <v>0</v>
      </c>
      <c r="CM3" s="133"/>
      <c r="CN3" s="133"/>
      <c r="CO3" s="133"/>
      <c r="CP3" s="1" t="s">
        <v>22</v>
      </c>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Y3" s="1"/>
      <c r="DZ3" s="1"/>
      <c r="EA3" s="1"/>
      <c r="EM3" s="60" t="s">
        <v>55</v>
      </c>
      <c r="ER3" s="1"/>
      <c r="GA3" s="105" t="s">
        <v>62</v>
      </c>
    </row>
    <row r="4" spans="2:183" ht="18" customHeight="1">
      <c r="B4" s="7"/>
      <c r="AO4" s="10" t="s">
        <v>1</v>
      </c>
      <c r="AP4" s="9"/>
      <c r="AR4" s="7"/>
      <c r="CF4" s="9"/>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Y4" s="1"/>
      <c r="DZ4" s="1"/>
      <c r="EA4" s="1"/>
      <c r="EM4" s="60" t="s">
        <v>56</v>
      </c>
      <c r="ER4" s="1"/>
      <c r="GA4" s="105"/>
    </row>
    <row r="5" spans="2:183" ht="18" customHeight="1" thickBot="1">
      <c r="B5" s="7"/>
      <c r="AO5" s="10" t="s">
        <v>2</v>
      </c>
      <c r="AP5" s="9"/>
      <c r="AR5" s="7"/>
      <c r="AS5" s="11" t="s">
        <v>155</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Y5" s="1"/>
      <c r="DZ5" s="1"/>
      <c r="EA5" s="1"/>
      <c r="EM5" s="60" t="s">
        <v>57</v>
      </c>
      <c r="ER5" s="1"/>
      <c r="FZ5" s="2" t="s">
        <v>47</v>
      </c>
      <c r="GA5" s="105"/>
    </row>
    <row r="6" spans="2:183" ht="18" customHeight="1" thickBot="1">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2" t="s">
        <v>3</v>
      </c>
      <c r="AP6" s="9"/>
      <c r="AR6" s="7"/>
      <c r="CF6" s="9"/>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Y6" s="1"/>
      <c r="DZ6" s="1"/>
      <c r="EA6" s="1"/>
      <c r="FZ6" s="1">
        <v>1000</v>
      </c>
      <c r="GA6" s="1">
        <v>1</v>
      </c>
    </row>
    <row r="7" spans="2:183" ht="18" customHeight="1">
      <c r="B7" s="7"/>
      <c r="C7" s="114" t="s">
        <v>41</v>
      </c>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9"/>
      <c r="AR7" s="7"/>
      <c r="AS7" s="139" t="str">
        <f>"EXECUTIVE SUMMARY - OVERALL COORDINATION STATUS: "&amp;IF(AND(FD43="PASS",FD46="PASS",FD49="PASS",FD68="PASS",FD70="PASS",FD73="PASS"),"PASS","FAIL")</f>
        <v>EXECUTIVE SUMMARY - OVERALL COORDINATION STATUS: PASS</v>
      </c>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9"/>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Y7" s="1"/>
      <c r="DZ7" s="1"/>
      <c r="EA7" s="1"/>
      <c r="EL7" s="83" t="s">
        <v>93</v>
      </c>
      <c r="EM7" s="83"/>
      <c r="EN7" s="83"/>
      <c r="EO7" s="83"/>
      <c r="EP7" s="83"/>
      <c r="EQ7" s="83"/>
      <c r="ER7" s="83"/>
      <c r="ES7" s="83"/>
      <c r="ET7" s="83"/>
      <c r="EU7" s="83"/>
      <c r="EV7" s="83"/>
      <c r="EW7" s="83"/>
      <c r="EX7" s="83"/>
      <c r="EY7" s="83"/>
      <c r="EZ7" s="83"/>
      <c r="FA7" s="83"/>
      <c r="FB7" s="83"/>
      <c r="FC7" s="83"/>
      <c r="FE7" s="83" t="s">
        <v>93</v>
      </c>
      <c r="FF7" s="83"/>
      <c r="FG7" s="83"/>
      <c r="FH7" s="83"/>
      <c r="FI7" s="83"/>
      <c r="FJ7" s="83"/>
      <c r="FK7" s="83"/>
      <c r="FL7" s="83"/>
      <c r="FM7" s="83"/>
      <c r="FN7" s="83"/>
      <c r="FO7" s="83"/>
      <c r="FP7" s="83"/>
      <c r="FQ7" s="83"/>
      <c r="FR7" s="83"/>
      <c r="FS7" s="83"/>
      <c r="FT7" s="83"/>
      <c r="FU7" s="83"/>
      <c r="FV7" s="83"/>
      <c r="FZ7" s="1">
        <v>1200</v>
      </c>
      <c r="GA7" s="1">
        <v>0.98</v>
      </c>
    </row>
    <row r="8" spans="2:183" ht="18" customHeight="1">
      <c r="B8" s="7"/>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9"/>
      <c r="AR8" s="7"/>
      <c r="AS8" s="68" t="str">
        <f>IF(AND(FD43="PASS",FD46="PASS",FD49="PASS",FD68="PASS",FD70="PASS",FD73="PASS"),GA43,GS43)</f>
        <v>Using IEEE C62.22 and IEC 60071-2 guidelines, this analysis demonstrates that the selected surge arrester limits transient overvoltages to levels safely below the altitude derated dielectric strength of the equipment.
Without proper insulation coordination, physical altitude derating alone would necessitate higher equipment insulation ratings. To achieve a 95 kV BIL site requirement at an altitude of 10,000 (ft), standard practice without surge protection would require the equipment to have a minimum sea-level nameplate rating of:
	    • 119.3 kV crest (per IEEE physical derating)
	    • 122.1 kV peak (per IEC atmospheric correction)
However, with the application of a coordinated IEEE / ANSI C62.11 Standard Arrester (MCOV Rating: 12.7 (kV), Lightning Impulse Protective Level (LPL): 37.9 (kVcrest)), evaluated with an arrester lead length of 1.0 (ft) and an assumed surge rate-of-rise (di/dt) of 10.0 kA/µs, the resulting surge stresses are limited to levels that satisfy the required insulation coordination margins.
By explicitly accounting for the inductive voltage drop in the arrester leads and the corresponding surge clamping performance, transient overvoltages are demonstrated per the IEEE and IEC standards to remain within the safe dielectric capability of the equipment. As a result, the standard 95 kV BIL nameplated equipment is confirmed to be fully protected and compliant at the target altitude. This methodology aligns with globally recognized insulation coordination practices that explicitly support the use of surge arresters to control transient overvoltages rather than unnecessarily increasing equipment insulation ratings. The validity of this approach is supported by multiple IEEE and IEC standards governing high-altitude equipment application and insulation coordination. A brief technical summary and relevant standard references supporting this PASS determination are provided in the justification section at the end of this report.</v>
      </c>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9"/>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Y8" s="1"/>
      <c r="DZ8" s="1"/>
      <c r="EA8" s="1"/>
      <c r="EL8" s="1"/>
      <c r="EM8" s="1"/>
      <c r="EN8" s="1"/>
      <c r="EO8" s="1"/>
      <c r="EP8" s="1"/>
      <c r="EQ8" s="1"/>
      <c r="ER8" s="1"/>
      <c r="EY8" s="15" t="s">
        <v>127</v>
      </c>
      <c r="FA8" s="1" t="s">
        <v>70</v>
      </c>
      <c r="FT8" s="15" t="s">
        <v>94</v>
      </c>
      <c r="FV8" s="1" t="s">
        <v>99</v>
      </c>
      <c r="FZ8" s="1">
        <v>1500</v>
      </c>
      <c r="GA8" s="1">
        <v>0.95</v>
      </c>
    </row>
    <row r="9" spans="2:183" ht="18" customHeight="1">
      <c r="B9" s="7"/>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9"/>
      <c r="AR9" s="7"/>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9"/>
      <c r="CL9" s="15" t="s">
        <v>32</v>
      </c>
      <c r="CM9" s="64" t="e">
        <f>CL2+K42+K41</f>
        <v>#REF!</v>
      </c>
      <c r="CN9" s="64"/>
      <c r="CO9" s="64"/>
      <c r="CP9" s="64"/>
      <c r="CQ9" s="1" t="s">
        <v>22</v>
      </c>
      <c r="CS9" s="82" t="s">
        <v>31</v>
      </c>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Y9" s="1"/>
      <c r="DZ9" s="15" t="s">
        <v>36</v>
      </c>
      <c r="EA9" s="67" t="e">
        <f>SUM(CM11,CM12)</f>
        <v>#REF!</v>
      </c>
      <c r="EB9" s="65"/>
      <c r="EC9" s="65"/>
      <c r="ED9" s="65"/>
      <c r="EE9" s="65"/>
      <c r="EL9" s="1"/>
      <c r="EM9" s="1"/>
      <c r="EN9" s="1"/>
      <c r="EO9" s="1"/>
      <c r="EP9" s="1"/>
      <c r="EQ9" s="1"/>
      <c r="ER9" s="1"/>
      <c r="EY9" s="15" t="s">
        <v>101</v>
      </c>
      <c r="FA9" s="1" t="s">
        <v>69</v>
      </c>
      <c r="FT9" s="15" t="s">
        <v>102</v>
      </c>
      <c r="FV9" s="1" t="s">
        <v>100</v>
      </c>
      <c r="FZ9" s="1">
        <v>1800</v>
      </c>
      <c r="GA9" s="1">
        <v>0.92</v>
      </c>
    </row>
    <row r="10" spans="2:183" ht="18" customHeight="1">
      <c r="B10" s="7"/>
      <c r="C10" s="14" t="s">
        <v>45</v>
      </c>
      <c r="AN10" s="63" t="s">
        <v>9</v>
      </c>
      <c r="AP10" s="9"/>
      <c r="AR10" s="7"/>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9"/>
      <c r="CL10" s="15" t="s">
        <v>33</v>
      </c>
      <c r="CM10" s="64">
        <f>CL3+AN89+AN88</f>
        <v>0</v>
      </c>
      <c r="CN10" s="64"/>
      <c r="CO10" s="64"/>
      <c r="CP10" s="64"/>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Y10" s="1"/>
      <c r="DZ10" s="15" t="s">
        <v>37</v>
      </c>
      <c r="EA10" s="66" t="e">
        <f>(1/((1/(CM9+AN90)+(1/CM10))))+CD73</f>
        <v>#REF!</v>
      </c>
      <c r="EB10" s="66"/>
      <c r="EC10" s="66"/>
      <c r="ED10" s="66"/>
      <c r="EE10" s="66"/>
      <c r="EL10" s="1"/>
      <c r="EM10" s="1"/>
      <c r="EN10" s="1"/>
      <c r="EO10" s="1"/>
      <c r="EP10" s="1"/>
      <c r="EQ10" s="1"/>
      <c r="ER10" s="1"/>
      <c r="EY10" s="15" t="s">
        <v>83</v>
      </c>
      <c r="FA10" s="1" t="s">
        <v>69</v>
      </c>
      <c r="FT10" s="15" t="s">
        <v>95</v>
      </c>
      <c r="FV10" s="1" t="s">
        <v>100</v>
      </c>
      <c r="FZ10" s="1">
        <v>2000</v>
      </c>
      <c r="GA10" s="1">
        <v>0.91</v>
      </c>
    </row>
    <row r="11" spans="2:183" ht="18" customHeight="1">
      <c r="B11" s="7"/>
      <c r="C11" s="16"/>
      <c r="D11" s="16"/>
      <c r="E11" s="16"/>
      <c r="F11" s="16"/>
      <c r="G11" s="10" t="s">
        <v>10</v>
      </c>
      <c r="H11" s="87" t="s">
        <v>11</v>
      </c>
      <c r="I11" s="87"/>
      <c r="J11" s="87"/>
      <c r="K11" s="87"/>
      <c r="L11" s="87"/>
      <c r="M11" s="87"/>
      <c r="N11" s="87"/>
      <c r="O11" s="87"/>
      <c r="P11" s="87"/>
      <c r="Q11" s="87"/>
      <c r="R11" s="87"/>
      <c r="S11" s="87"/>
      <c r="T11" s="87"/>
      <c r="U11" s="87"/>
      <c r="V11" s="87"/>
      <c r="W11" s="87"/>
      <c r="X11" s="16"/>
      <c r="Y11" s="16"/>
      <c r="Z11" s="16"/>
      <c r="AA11" s="16"/>
      <c r="AD11" s="10" t="s">
        <v>12</v>
      </c>
      <c r="AE11" s="88" t="s">
        <v>13</v>
      </c>
      <c r="AF11" s="88"/>
      <c r="AG11" s="88"/>
      <c r="AH11" s="88"/>
      <c r="AI11" s="88"/>
      <c r="AJ11" s="88"/>
      <c r="AK11" s="88"/>
      <c r="AL11" s="88"/>
      <c r="AM11" s="88"/>
      <c r="AN11" s="88"/>
      <c r="AO11" s="34"/>
      <c r="AP11" s="9"/>
      <c r="AR11" s="7"/>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9"/>
      <c r="CL11" s="15" t="s">
        <v>34</v>
      </c>
      <c r="CM11" s="67">
        <f>SUM(D39:AX42)*(1+$AN$85)</f>
        <v>102.3</v>
      </c>
      <c r="CN11" s="65"/>
      <c r="CO11" s="65"/>
      <c r="CP11" s="65"/>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Z11" s="15"/>
      <c r="EA11" s="1"/>
      <c r="EL11" s="1"/>
      <c r="EM11" s="1"/>
      <c r="EN11" s="1"/>
      <c r="EO11" s="1"/>
      <c r="EP11" s="1"/>
      <c r="EQ11" s="1"/>
      <c r="ER11" s="1"/>
      <c r="EY11" s="15" t="s">
        <v>82</v>
      </c>
      <c r="FA11" s="1" t="s">
        <v>69</v>
      </c>
      <c r="FT11" s="15" t="s">
        <v>96</v>
      </c>
      <c r="FV11" s="1" t="s">
        <v>100</v>
      </c>
      <c r="FZ11" s="1">
        <v>2100</v>
      </c>
      <c r="GA11" s="1">
        <v>0.89</v>
      </c>
    </row>
    <row r="12" spans="2:183" ht="18" customHeight="1">
      <c r="B12" s="7"/>
      <c r="D12" s="16"/>
      <c r="E12" s="16"/>
      <c r="F12" s="16"/>
      <c r="G12" s="10" t="s">
        <v>17</v>
      </c>
      <c r="H12" s="87" t="s">
        <v>15</v>
      </c>
      <c r="I12" s="87"/>
      <c r="J12" s="87"/>
      <c r="K12" s="87"/>
      <c r="L12" s="87"/>
      <c r="M12" s="87"/>
      <c r="N12" s="87"/>
      <c r="O12" s="87"/>
      <c r="P12" s="87"/>
      <c r="Q12" s="87"/>
      <c r="R12" s="87"/>
      <c r="S12" s="87"/>
      <c r="T12" s="87"/>
      <c r="U12" s="87"/>
      <c r="V12" s="87"/>
      <c r="W12" s="87"/>
      <c r="X12" s="16"/>
      <c r="Y12" s="16"/>
      <c r="Z12" s="16"/>
      <c r="AA12" s="16"/>
      <c r="AB12" s="16"/>
      <c r="AD12" s="10" t="s">
        <v>14</v>
      </c>
      <c r="AE12" s="111" t="s">
        <v>16</v>
      </c>
      <c r="AF12" s="112"/>
      <c r="AG12" s="112"/>
      <c r="AH12" s="112"/>
      <c r="AI12" s="112"/>
      <c r="AJ12" s="112"/>
      <c r="AK12" s="112"/>
      <c r="AL12" s="112"/>
      <c r="AM12" s="112"/>
      <c r="AN12" s="113"/>
      <c r="AP12" s="9"/>
      <c r="AR12" s="7"/>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9"/>
      <c r="CL12" s="15" t="s">
        <v>35</v>
      </c>
      <c r="CM12" s="67" t="e">
        <f>SUM(#REF!)*(1+$AN$85)</f>
        <v>#REF!</v>
      </c>
      <c r="CN12" s="65"/>
      <c r="CO12" s="65"/>
      <c r="CP12" s="65"/>
      <c r="CR12" s="45"/>
      <c r="CS12" s="86" t="s">
        <v>28</v>
      </c>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Y12" s="1"/>
      <c r="DZ12" s="1"/>
      <c r="EA12" s="1"/>
      <c r="FZ12" s="1">
        <v>2400</v>
      </c>
      <c r="GA12" s="1">
        <v>0.86</v>
      </c>
    </row>
    <row r="13" spans="2:183" ht="18" customHeight="1">
      <c r="B13" s="7"/>
      <c r="AO13" s="16"/>
      <c r="AP13" s="9"/>
      <c r="AR13" s="7"/>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9"/>
      <c r="CL13" s="15" t="s">
        <v>20</v>
      </c>
      <c r="CM13" s="65">
        <f>N30*(SQRT(2/3))*(1+N31)</f>
        <v>182.3106225758664</v>
      </c>
      <c r="CN13" s="65"/>
      <c r="CO13" s="65"/>
      <c r="CP13" s="65"/>
      <c r="CQ13" s="1" t="s">
        <v>21</v>
      </c>
      <c r="CS13" s="65" t="s">
        <v>23</v>
      </c>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V13" s="2"/>
      <c r="DW13" s="2"/>
      <c r="DX13" s="2"/>
      <c r="DY13" s="1"/>
      <c r="DZ13" s="1"/>
      <c r="EA13" s="3"/>
      <c r="EB13" s="3"/>
      <c r="EC13" s="3"/>
      <c r="EM13" s="59" t="s">
        <v>97</v>
      </c>
      <c r="FZ13" s="1">
        <v>2700</v>
      </c>
      <c r="GA13" s="1">
        <v>0.83</v>
      </c>
    </row>
    <row r="14" spans="2:183" ht="18" customHeight="1">
      <c r="B14" s="7"/>
      <c r="C14" s="17" t="s">
        <v>44</v>
      </c>
      <c r="AP14" s="9"/>
      <c r="AR14" s="7"/>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9"/>
      <c r="DV14" s="2"/>
      <c r="DW14" s="2"/>
      <c r="DX14" s="2"/>
      <c r="DY14" s="1"/>
      <c r="DZ14" s="1"/>
      <c r="EA14" s="3"/>
      <c r="EB14" s="3"/>
      <c r="EC14" s="3"/>
      <c r="EM14" s="59" t="s">
        <v>98</v>
      </c>
      <c r="FZ14" s="1">
        <v>3000</v>
      </c>
      <c r="GA14" s="1">
        <v>0.8</v>
      </c>
    </row>
    <row r="15" spans="2:183" ht="18" customHeight="1">
      <c r="B15" s="7"/>
      <c r="D15" s="16"/>
      <c r="E15" s="16"/>
      <c r="F15" s="16"/>
      <c r="G15" s="16"/>
      <c r="H15" s="16"/>
      <c r="I15" s="16"/>
      <c r="J15" s="16"/>
      <c r="K15" s="16"/>
      <c r="L15" s="16"/>
      <c r="M15" s="16"/>
      <c r="N15" s="16"/>
      <c r="O15" s="16"/>
      <c r="P15" s="16"/>
      <c r="R15" s="16"/>
      <c r="S15" s="16"/>
      <c r="T15" s="16"/>
      <c r="U15" s="16"/>
      <c r="V15" s="16"/>
      <c r="W15" s="16"/>
      <c r="X15" s="16"/>
      <c r="Y15" s="16"/>
      <c r="Z15" s="16"/>
      <c r="AA15" s="16"/>
      <c r="AB15" s="16"/>
      <c r="AC15" s="16" t="s">
        <v>8</v>
      </c>
      <c r="AD15" s="16"/>
      <c r="AE15" s="16"/>
      <c r="AF15" s="16"/>
      <c r="AG15" s="16"/>
      <c r="AH15" s="16"/>
      <c r="AI15" s="16"/>
      <c r="AJ15" s="16"/>
      <c r="AK15" s="16"/>
      <c r="AL15" s="16"/>
      <c r="AM15" s="16"/>
      <c r="AN15" s="16"/>
      <c r="AO15" s="16"/>
      <c r="AP15" s="9"/>
      <c r="AR15" s="7"/>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9"/>
      <c r="CL15" s="15" t="s">
        <v>24</v>
      </c>
      <c r="CM15" s="64" t="e">
        <f>CM13*SQRT((EA9*0.000001)/(EA10*0.000001))</f>
        <v>#REF!</v>
      </c>
      <c r="CN15" s="64"/>
      <c r="CO15" s="64"/>
      <c r="CP15" s="64"/>
      <c r="DV15" s="2"/>
      <c r="DW15" s="2"/>
      <c r="DX15" s="2"/>
      <c r="DY15" s="1"/>
      <c r="DZ15" s="1"/>
      <c r="EA15" s="3"/>
      <c r="EB15" s="3"/>
      <c r="EC15" s="3"/>
      <c r="FZ15" s="1">
        <v>3600</v>
      </c>
      <c r="GA15" s="1">
        <v>0.75</v>
      </c>
    </row>
    <row r="16" spans="2:183" ht="18" customHeight="1">
      <c r="B16" s="7"/>
      <c r="AP16" s="9"/>
      <c r="AR16" s="7"/>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9"/>
      <c r="DV16" s="2"/>
      <c r="DW16" s="2"/>
      <c r="DX16" s="2"/>
      <c r="DY16" s="1"/>
      <c r="DZ16" s="1"/>
      <c r="EA16" s="3"/>
      <c r="EB16" s="3"/>
      <c r="EC16" s="3"/>
      <c r="EM16" s="3" t="s">
        <v>122</v>
      </c>
      <c r="FB16" s="65">
        <f>W34*EZ62</f>
        <v>122.1396711218615</v>
      </c>
      <c r="FC16" s="65"/>
      <c r="FD16" s="65"/>
      <c r="FZ16" s="1">
        <v>4000</v>
      </c>
      <c r="GA16" s="1">
        <v>0.72</v>
      </c>
    </row>
    <row r="17" spans="2:184" ht="18" customHeight="1">
      <c r="B17" s="7"/>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9"/>
      <c r="AR17" s="7"/>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9"/>
      <c r="EM17" s="3" t="s">
        <v>123</v>
      </c>
      <c r="FB17" s="65">
        <f>W34/FD32</f>
        <v>119.34673244968566</v>
      </c>
      <c r="FC17" s="65"/>
      <c r="FD17" s="65"/>
      <c r="FE17" s="1" t="s">
        <v>69</v>
      </c>
      <c r="FZ17" s="1">
        <v>4300</v>
      </c>
      <c r="GA17" s="1">
        <v>0.7</v>
      </c>
    </row>
    <row r="18" spans="2:184" ht="18" customHeight="1">
      <c r="B18" s="7"/>
      <c r="AP18" s="9"/>
      <c r="AR18" s="7"/>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9"/>
      <c r="CL18" s="15" t="s">
        <v>25</v>
      </c>
      <c r="CM18" s="64" t="e">
        <f>1000*1000/(2*PI()*SQRT(EA10*EA9))</f>
        <v>#REF!</v>
      </c>
      <c r="CN18" s="64"/>
      <c r="CO18" s="64"/>
      <c r="CP18" s="64"/>
      <c r="FZ18" s="1">
        <v>4900</v>
      </c>
      <c r="GA18" s="1">
        <v>0.65</v>
      </c>
    </row>
    <row r="19" spans="2:184" ht="18" customHeight="1">
      <c r="B19" s="7"/>
      <c r="C19" s="35"/>
      <c r="AO19" s="36"/>
      <c r="AP19" s="9"/>
      <c r="AR19" s="7"/>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9"/>
      <c r="FZ19" s="1">
        <v>5500</v>
      </c>
      <c r="GA19" s="1">
        <v>0.61</v>
      </c>
    </row>
    <row r="20" spans="2:184" ht="18" customHeight="1">
      <c r="B20" s="7"/>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9"/>
      <c r="AR20" s="7"/>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9"/>
      <c r="FZ20" s="1">
        <v>6000</v>
      </c>
      <c r="GA20" s="1">
        <v>0.56000000000000005</v>
      </c>
    </row>
    <row r="21" spans="2:184" ht="18" customHeight="1">
      <c r="B21" s="7"/>
      <c r="AP21" s="9"/>
      <c r="AR21" s="7"/>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9"/>
      <c r="CL21" s="15" t="s">
        <v>26</v>
      </c>
      <c r="CM21" s="110" t="e">
        <f>CM18*CM15</f>
        <v>#REF!</v>
      </c>
      <c r="CN21" s="110"/>
      <c r="CO21" s="110"/>
      <c r="CP21" s="110"/>
      <c r="CQ21" s="1" t="s">
        <v>27</v>
      </c>
    </row>
    <row r="22" spans="2:184" ht="18" customHeight="1">
      <c r="B22" s="7"/>
      <c r="AP22" s="9"/>
      <c r="AR22" s="7"/>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9"/>
    </row>
    <row r="23" spans="2:184" ht="18" customHeight="1">
      <c r="B23" s="7"/>
      <c r="AP23" s="9"/>
      <c r="AR23" s="7"/>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9"/>
      <c r="FY23" s="19" t="s">
        <v>128</v>
      </c>
      <c r="FZ23" s="19"/>
      <c r="GA23" s="19"/>
      <c r="GB23" s="19"/>
    </row>
    <row r="24" spans="2:184" ht="18" customHeight="1">
      <c r="B24" s="7"/>
      <c r="AP24" s="9"/>
      <c r="AR24" s="7"/>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9"/>
      <c r="CI24" s="1" t="e">
        <f>" to the fault location), the calculated Peak Outrush Current (Ipeak) is "&amp;ROUND(#REF!,1)&amp;" kA. The natural frequency of this discharge event is calculated as "&amp;ROUND(#REF!,1)&amp;" Hz, resulting in a current-frequency product (I×f) of "&amp;ROUND(#REF!,1)&amp;" kA·Hz. These values identify the transient duty required to verify the switchgear's close-and-latch and frequency withstand capabilities. See below for Victim Breaker Evaluation."</f>
        <v>#REF!</v>
      </c>
      <c r="FY24" s="1" t="str">
        <f>TEXT(W34,"0")&amp;" kV BIL"</f>
        <v>95 kV BIL</v>
      </c>
    </row>
    <row r="25" spans="2:184" ht="18" customHeight="1">
      <c r="B25" s="7"/>
      <c r="AP25" s="20"/>
      <c r="AR25" s="7"/>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9"/>
      <c r="FY25" s="1" t="str">
        <f>TEXT(FB17,"0.0")&amp;" kV crest"</f>
        <v>119.3 kV crest</v>
      </c>
    </row>
    <row r="26" spans="2:184" ht="18" customHeight="1">
      <c r="B26" s="7"/>
      <c r="AP26" s="9"/>
      <c r="AR26" s="7"/>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9"/>
      <c r="FY26" s="1" t="str">
        <f>TEXT(FB16,"0.0")&amp;" kV peak"</f>
        <v>122.1 kV peak</v>
      </c>
    </row>
    <row r="27" spans="2:184" ht="18" customHeight="1">
      <c r="B27" s="7"/>
      <c r="AP27" s="9"/>
      <c r="AR27" s="7"/>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9"/>
      <c r="FY27" s="1" t="str">
        <f>TEXT(N32,"#,##0")&amp;" "&amp;Q32</f>
        <v>10,000 (ft)</v>
      </c>
    </row>
    <row r="28" spans="2:184" ht="18" customHeight="1">
      <c r="B28" s="7"/>
      <c r="C28" s="144" t="s">
        <v>43</v>
      </c>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4"/>
      <c r="AN28" s="144"/>
      <c r="AO28" s="144"/>
      <c r="AP28" s="9"/>
      <c r="AR28" s="7"/>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9"/>
      <c r="FY28" s="1" t="str">
        <f>P40&amp;" "&amp;Q40&amp;" "&amp;T40</f>
        <v>MCOV Rating: 12.7 (kV)</v>
      </c>
    </row>
    <row r="29" spans="2:184" ht="18" customHeight="1">
      <c r="B29" s="7"/>
      <c r="C29" s="48" t="s">
        <v>42</v>
      </c>
      <c r="D29" s="48"/>
      <c r="E29" s="48"/>
      <c r="F29" s="48"/>
      <c r="G29" s="48"/>
      <c r="H29" s="48"/>
      <c r="I29" s="48"/>
      <c r="J29" s="48"/>
      <c r="K29" s="48"/>
      <c r="L29" s="48"/>
      <c r="M29" s="47"/>
      <c r="N29" s="47"/>
      <c r="O29" s="47"/>
      <c r="P29" s="47"/>
      <c r="Q29" s="47"/>
      <c r="R29" s="47"/>
      <c r="AP29" s="9"/>
      <c r="AR29" s="7" t="s">
        <v>8</v>
      </c>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9"/>
      <c r="FY29" s="1" t="str">
        <f>P41&amp;" "&amp;Q41&amp;" "&amp;T41</f>
        <v>Lightning Impulse Protective Level (LPL): 37.9 (kVcrest)</v>
      </c>
    </row>
    <row r="30" spans="2:184" ht="18" customHeight="1">
      <c r="B30" s="7"/>
      <c r="F30" s="38"/>
      <c r="G30" s="38"/>
      <c r="H30" s="38"/>
      <c r="I30" s="38"/>
      <c r="J30" s="33"/>
      <c r="K30" s="33"/>
      <c r="L30" s="33"/>
      <c r="M30" s="10" t="s">
        <v>46</v>
      </c>
      <c r="N30" s="136">
        <v>13.8</v>
      </c>
      <c r="O30" s="137"/>
      <c r="P30" s="138"/>
      <c r="Q30" s="1" t="s">
        <v>49</v>
      </c>
      <c r="R30" s="47"/>
      <c r="S30" s="47"/>
      <c r="AB30" s="82" t="s">
        <v>157</v>
      </c>
      <c r="AC30" s="82"/>
      <c r="AD30" s="82"/>
      <c r="AE30" s="82"/>
      <c r="AF30" s="82"/>
      <c r="AG30" s="82"/>
      <c r="AH30" s="82"/>
      <c r="AI30" s="82"/>
      <c r="AJ30" s="82"/>
      <c r="AK30" s="82"/>
      <c r="AL30" s="82"/>
      <c r="AM30" s="82"/>
      <c r="AN30" s="82"/>
      <c r="AO30" s="82"/>
      <c r="AP30" s="9"/>
      <c r="AR30" s="7"/>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9"/>
      <c r="EM30" s="51" t="s">
        <v>60</v>
      </c>
      <c r="EN30" s="51"/>
      <c r="EO30" s="51"/>
      <c r="EP30" s="51"/>
      <c r="EQ30" s="51"/>
      <c r="ER30" s="51"/>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1" t="str">
        <f>TEXT(W46,"0.0")&amp;" "&amp;Z46</f>
        <v>1.0 (ft)</v>
      </c>
    </row>
    <row r="31" spans="2:184" ht="18" customHeight="1">
      <c r="B31" s="7"/>
      <c r="E31" s="38"/>
      <c r="F31" s="33"/>
      <c r="H31" s="33"/>
      <c r="I31" s="33"/>
      <c r="J31" s="33"/>
      <c r="K31" s="33"/>
      <c r="M31" s="10" t="s">
        <v>52</v>
      </c>
      <c r="N31" s="136">
        <f>1.1*N30</f>
        <v>15.180000000000001</v>
      </c>
      <c r="O31" s="137"/>
      <c r="P31" s="138"/>
      <c r="Q31" s="1" t="s">
        <v>49</v>
      </c>
      <c r="R31" s="47"/>
      <c r="AB31" s="82"/>
      <c r="AC31" s="82"/>
      <c r="AD31" s="82"/>
      <c r="AE31" s="82"/>
      <c r="AF31" s="82"/>
      <c r="AG31" s="82"/>
      <c r="AH31" s="82"/>
      <c r="AI31" s="82"/>
      <c r="AJ31" s="82"/>
      <c r="AK31" s="82"/>
      <c r="AL31" s="82"/>
      <c r="AM31" s="82"/>
      <c r="AN31" s="82"/>
      <c r="AO31" s="82"/>
      <c r="AP31" s="9"/>
      <c r="AR31" s="7"/>
      <c r="AS31" s="139" t="s">
        <v>131</v>
      </c>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9"/>
      <c r="EM31" s="56" t="s">
        <v>71</v>
      </c>
      <c r="EN31" s="56"/>
      <c r="EO31" s="56"/>
      <c r="EP31" s="3" t="s">
        <v>75</v>
      </c>
      <c r="FY31" s="1" t="str">
        <f>TEXT(AJ41,"0.0")&amp;" kA/µs"</f>
        <v>10.0 kA/µs</v>
      </c>
    </row>
    <row r="32" spans="2:184" ht="18" customHeight="1">
      <c r="B32" s="7"/>
      <c r="E32" s="33"/>
      <c r="M32" s="10" t="s">
        <v>126</v>
      </c>
      <c r="N32" s="136">
        <v>10000</v>
      </c>
      <c r="O32" s="137"/>
      <c r="P32" s="138"/>
      <c r="Q32" s="140" t="s">
        <v>64</v>
      </c>
      <c r="R32" s="140"/>
      <c r="AB32" s="82"/>
      <c r="AC32" s="82"/>
      <c r="AD32" s="82"/>
      <c r="AE32" s="82"/>
      <c r="AF32" s="82"/>
      <c r="AG32" s="82"/>
      <c r="AH32" s="82"/>
      <c r="AI32" s="82"/>
      <c r="AJ32" s="82"/>
      <c r="AK32" s="82"/>
      <c r="AL32" s="82"/>
      <c r="AM32" s="82"/>
      <c r="AN32" s="82"/>
      <c r="AO32" s="82"/>
      <c r="AP32" s="9"/>
      <c r="AR32" s="7"/>
      <c r="AS32" s="116" t="s">
        <v>132</v>
      </c>
      <c r="AT32" s="117"/>
      <c r="AU32" s="117"/>
      <c r="AV32" s="117"/>
      <c r="AW32" s="117"/>
      <c r="AX32" s="117"/>
      <c r="AY32" s="130" t="s">
        <v>156</v>
      </c>
      <c r="AZ32" s="130"/>
      <c r="BA32" s="130"/>
      <c r="BB32" s="130"/>
      <c r="BC32" s="130"/>
      <c r="BD32" s="130"/>
      <c r="BE32" s="130" t="s">
        <v>134</v>
      </c>
      <c r="BF32" s="130"/>
      <c r="BG32" s="130"/>
      <c r="BH32" s="130"/>
      <c r="BI32" s="130"/>
      <c r="BJ32" s="130"/>
      <c r="BK32" s="130"/>
      <c r="BL32" s="130" t="s">
        <v>135</v>
      </c>
      <c r="BM32" s="130"/>
      <c r="BN32" s="130"/>
      <c r="BO32" s="130"/>
      <c r="BP32" s="130"/>
      <c r="BQ32" s="130"/>
      <c r="BR32" s="130"/>
      <c r="BS32" s="130" t="s">
        <v>136</v>
      </c>
      <c r="BT32" s="130"/>
      <c r="BU32" s="130"/>
      <c r="BV32" s="130"/>
      <c r="BW32" s="130"/>
      <c r="BX32" s="146"/>
      <c r="BY32" s="124" t="s">
        <v>137</v>
      </c>
      <c r="BZ32" s="125"/>
      <c r="CA32" s="125"/>
      <c r="CB32" s="125"/>
      <c r="CC32" s="125"/>
      <c r="CD32" s="125"/>
      <c r="CE32" s="126"/>
      <c r="CF32" s="9"/>
      <c r="EZ32" s="3"/>
      <c r="FA32" s="3"/>
      <c r="FB32" s="3"/>
      <c r="FC32" s="54" t="s">
        <v>63</v>
      </c>
      <c r="FD32" s="64" cm="1">
        <f t="array" ref="FD32">IF(
    IF(Q32="(ft)",N32/3.28084,N32)&lt;=1000,
    1,
    IF(
        IF(Q32="(ft)",N32/3.28084,N32)&gt;=INDEX(FZ6:FZ20,ROWS(FZ6:FZ20)),
        INDEX(GA6:GA20,ROWS(GA6:GA20)) +
        (
            (IF(Q32="(ft)",N32/3.28084,N32) -
            INDEX(FZ6:FZ20,ROWS(FZ6:FZ20)))
            *
            (
                INDEX(GA6:GA20,ROWS(GA6:GA20)) -
                INDEX(GA6:GA20,ROWS(GA6:GA20)-1)
            )
            /
            (
                INDEX(FZ6:FZ20,ROWS(FZ6:FZ20)) -
                INDEX(FZ6:FZ20,ROWS(FZ6:FZ20)-1)
            )
        ),
        INDEX(GA6:GA20,MATCH(IF(Q32="(ft)",N32/3.28084,N32),FZ6:FZ20,1)) +
        (
            (IF(Q32="(ft)",N32/3.28084,N32) -
            INDEX(FZ6:FZ20,MATCH(IF(Q32="(ft)",N32/3.28084,N32),FZ6:FZ20,1)))
            *
            (
                INDEX(GA6:GA20,MATCH(IF(Q32="(ft)",N32/3.28084,N32),FZ6:FZ20,1)+1) -
                INDEX(GA6:GA20,MATCH(IF(Q32="(ft)",N32/3.28084,N32),FZ6:FZ20,1))
            )
            /
            (
                INDEX(FZ6:FZ20,MATCH(IF(Q32="(ft)",N32/3.28084,N32),FZ6:FZ20,1)+1) -
                INDEX(FZ6:FZ20,MATCH(IF(Q32="(ft)",N32/3.28084,N32),FZ6:FZ20,1))
            )
        )
    )
)</f>
        <v>0.79600000812799976</v>
      </c>
      <c r="FE32" s="64"/>
      <c r="FF32" s="64"/>
      <c r="FG32" s="64"/>
    </row>
    <row r="33" spans="2:217" ht="18" customHeight="1">
      <c r="B33" s="7"/>
      <c r="C33" s="49" t="s">
        <v>48</v>
      </c>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9"/>
      <c r="AR33" s="7"/>
      <c r="AS33" s="118"/>
      <c r="AT33" s="119"/>
      <c r="AU33" s="119"/>
      <c r="AV33" s="119"/>
      <c r="AW33" s="119"/>
      <c r="AX33" s="119"/>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47"/>
      <c r="BY33" s="127"/>
      <c r="BZ33" s="128"/>
      <c r="CA33" s="128"/>
      <c r="CB33" s="128"/>
      <c r="CC33" s="128"/>
      <c r="CD33" s="128"/>
      <c r="CE33" s="129"/>
      <c r="CF33" s="9"/>
      <c r="EM33" s="56" t="s">
        <v>76</v>
      </c>
      <c r="EN33" s="56"/>
      <c r="EO33" s="56"/>
      <c r="EP33" s="3" t="s">
        <v>89</v>
      </c>
    </row>
    <row r="34" spans="2:217" ht="18">
      <c r="B34" s="7"/>
      <c r="V34" s="15" t="s">
        <v>91</v>
      </c>
      <c r="W34" s="141">
        <v>95</v>
      </c>
      <c r="X34" s="142"/>
      <c r="Y34" s="143"/>
      <c r="Z34" s="1" t="s">
        <v>69</v>
      </c>
      <c r="AP34" s="9"/>
      <c r="AR34" s="7"/>
      <c r="AS34" s="118"/>
      <c r="AT34" s="119"/>
      <c r="AU34" s="119"/>
      <c r="AV34" s="119"/>
      <c r="AW34" s="119"/>
      <c r="AX34" s="119"/>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47"/>
      <c r="BY34" s="127"/>
      <c r="BZ34" s="128"/>
      <c r="CA34" s="128"/>
      <c r="CB34" s="128"/>
      <c r="CC34" s="128"/>
      <c r="CD34" s="128"/>
      <c r="CE34" s="129"/>
      <c r="CF34" s="9"/>
      <c r="EZ34" s="3"/>
      <c r="FA34" s="3"/>
      <c r="FB34" s="3"/>
      <c r="FC34" s="53" t="s">
        <v>65</v>
      </c>
      <c r="FD34" s="64">
        <f>FD32*W34</f>
        <v>75.620000772159983</v>
      </c>
      <c r="FE34" s="64"/>
      <c r="FF34" s="64"/>
      <c r="FG34" s="64"/>
      <c r="FH34" s="1" t="s">
        <v>69</v>
      </c>
      <c r="FY34" s="1" t="str">
        <f>"Using IEEE C62.22 and IEC 60071-2 guidelines, this analysis indicates that the selected surge arrester restricts transient overvoltages to levels safely below the altitude derated dielectric strength of the equipment."</f>
        <v>Using IEEE C62.22 and IEC 60071-2 guidelines, this analysis indicates that the selected surge arrester restricts transient overvoltages to levels safely below the altitude derated dielectric strength of the equipment.</v>
      </c>
    </row>
    <row r="35" spans="2:217" ht="18">
      <c r="B35" s="7"/>
      <c r="V35" s="15" t="s">
        <v>92</v>
      </c>
      <c r="W35" s="136">
        <v>36</v>
      </c>
      <c r="X35" s="137"/>
      <c r="Y35" s="138"/>
      <c r="Z35" s="1" t="s">
        <v>69</v>
      </c>
      <c r="AP35" s="9"/>
      <c r="AR35" s="7"/>
      <c r="AS35" s="120"/>
      <c r="AT35" s="121"/>
      <c r="AU35" s="121"/>
      <c r="AV35" s="121"/>
      <c r="AW35" s="121"/>
      <c r="AX35" s="121"/>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48"/>
      <c r="BY35" s="127"/>
      <c r="BZ35" s="128"/>
      <c r="CA35" s="128"/>
      <c r="CB35" s="128"/>
      <c r="CC35" s="128"/>
      <c r="CD35" s="128"/>
      <c r="CE35" s="129"/>
      <c r="CF35" s="9"/>
      <c r="CL35" s="2"/>
      <c r="CM35" s="2"/>
      <c r="EZ35" s="3"/>
      <c r="FA35" s="3"/>
      <c r="FB35" s="3"/>
      <c r="FC35" s="53" t="s">
        <v>66</v>
      </c>
      <c r="FD35" s="64">
        <f>W37*FD32</f>
        <v>86.963000887983966</v>
      </c>
      <c r="FE35" s="64"/>
      <c r="FF35" s="64"/>
      <c r="FG35" s="64"/>
      <c r="FH35" s="1" t="s">
        <v>69</v>
      </c>
      <c r="FY35" s="1" t="str">
        <f>"Without proper insulation coordination, physical altitude derating alone would require higher equipment ratings. To achieve a "&amp;FY24&amp;" site requirement at an altitude of "&amp;FY27&amp;", standard practice without surge protection would require the equipment to have a minimum sea-level nameplate rating of:"</f>
        <v>Without proper insulation coordination, physical altitude derating alone would require higher equipment ratings. To achieve a 95 kV BIL site requirement at an altitude of 10,000 (ft), standard practice without surge protection would require the equipment to have a minimum sea-level nameplate rating of:</v>
      </c>
    </row>
    <row r="36" spans="2:217" ht="18" customHeight="1">
      <c r="B36" s="7"/>
      <c r="L36" s="15" t="s">
        <v>59</v>
      </c>
      <c r="M36" s="115" t="s">
        <v>57</v>
      </c>
      <c r="N36" s="115"/>
      <c r="O36" s="115"/>
      <c r="P36" s="115"/>
      <c r="Q36" s="115"/>
      <c r="R36" s="115"/>
      <c r="S36" s="115"/>
      <c r="T36" s="115"/>
      <c r="U36" s="115"/>
      <c r="V36" s="115"/>
      <c r="W36" s="115"/>
      <c r="X36" s="115"/>
      <c r="Y36" s="115"/>
      <c r="AP36" s="9"/>
      <c r="AR36" s="7"/>
      <c r="AS36" s="73" t="s">
        <v>141</v>
      </c>
      <c r="AT36" s="74"/>
      <c r="AU36" s="74"/>
      <c r="AV36" s="74"/>
      <c r="AW36" s="74"/>
      <c r="AX36" s="74"/>
      <c r="AY36" s="89" t="str">
        <f>ROUND(FD35,2)&amp;CHAR(10)&amp;"kV crest"</f>
        <v>86.96
kV crest</v>
      </c>
      <c r="AZ36" s="89"/>
      <c r="BA36" s="89"/>
      <c r="BB36" s="89"/>
      <c r="BC36" s="89"/>
      <c r="BD36" s="89"/>
      <c r="BE36" s="89" t="str">
        <f>ROUND(FD39,2)&amp;CHAR(10)&amp;"kV crest"</f>
        <v>54.7
kV crest</v>
      </c>
      <c r="BF36" s="89"/>
      <c r="BG36" s="89"/>
      <c r="BH36" s="89"/>
      <c r="BI36" s="89"/>
      <c r="BJ36" s="89"/>
      <c r="BK36" s="89"/>
      <c r="BL36" s="176">
        <f>FD42</f>
        <v>0.58981720087722045</v>
      </c>
      <c r="BM36" s="79"/>
      <c r="BN36" s="79"/>
      <c r="BO36" s="79"/>
      <c r="BP36" s="79"/>
      <c r="BQ36" s="79"/>
      <c r="BR36" s="79"/>
      <c r="BS36" s="93" t="s">
        <v>139</v>
      </c>
      <c r="BT36" s="79"/>
      <c r="BU36" s="79"/>
      <c r="BV36" s="79"/>
      <c r="BW36" s="79"/>
      <c r="BX36" s="94"/>
      <c r="BY36" s="99" t="str">
        <f>FD43</f>
        <v>PASS</v>
      </c>
      <c r="BZ36" s="100"/>
      <c r="CA36" s="100"/>
      <c r="CB36" s="100"/>
      <c r="CC36" s="100"/>
      <c r="CD36" s="100"/>
      <c r="CE36" s="101"/>
      <c r="CF36" s="9"/>
      <c r="CL36" s="2"/>
      <c r="EZ36" s="3"/>
      <c r="FA36" s="3"/>
      <c r="FB36" s="3"/>
      <c r="FC36" s="53" t="s">
        <v>68</v>
      </c>
      <c r="FD36" s="64">
        <f>FD32*W35</f>
        <v>28.656000292607992</v>
      </c>
      <c r="FE36" s="64"/>
      <c r="FF36" s="64"/>
      <c r="FG36" s="64"/>
      <c r="FH36" s="1" t="s">
        <v>21</v>
      </c>
      <c r="FY36" s="1" t="str">
        <f>"• "&amp;FY25&amp;" (per IEEE physical derating)"</f>
        <v>• 119.3 kV crest (per IEEE physical derating)</v>
      </c>
    </row>
    <row r="37" spans="2:217" ht="18" customHeight="1">
      <c r="B37" s="7"/>
      <c r="V37" s="15" t="s">
        <v>67</v>
      </c>
      <c r="W37" s="106">
        <f>W34*1.15</f>
        <v>109.24999999999999</v>
      </c>
      <c r="X37" s="106"/>
      <c r="Y37" s="106"/>
      <c r="Z37" s="1" t="s">
        <v>69</v>
      </c>
      <c r="AP37" s="9"/>
      <c r="AR37" s="7"/>
      <c r="AS37" s="73"/>
      <c r="AT37" s="74"/>
      <c r="AU37" s="74"/>
      <c r="AV37" s="74"/>
      <c r="AW37" s="74"/>
      <c r="AX37" s="74"/>
      <c r="AY37" s="89"/>
      <c r="AZ37" s="89"/>
      <c r="BA37" s="89"/>
      <c r="BB37" s="89"/>
      <c r="BC37" s="89"/>
      <c r="BD37" s="89"/>
      <c r="BE37" s="89"/>
      <c r="BF37" s="89"/>
      <c r="BG37" s="89"/>
      <c r="BH37" s="89"/>
      <c r="BI37" s="89"/>
      <c r="BJ37" s="89"/>
      <c r="BK37" s="89"/>
      <c r="BL37" s="79"/>
      <c r="BM37" s="79"/>
      <c r="BN37" s="79"/>
      <c r="BO37" s="79"/>
      <c r="BP37" s="79"/>
      <c r="BQ37" s="79"/>
      <c r="BR37" s="79"/>
      <c r="BS37" s="79"/>
      <c r="BT37" s="79"/>
      <c r="BU37" s="79"/>
      <c r="BV37" s="79"/>
      <c r="BW37" s="79"/>
      <c r="BX37" s="94"/>
      <c r="BY37" s="99"/>
      <c r="BZ37" s="100"/>
      <c r="CA37" s="100"/>
      <c r="CB37" s="100"/>
      <c r="CC37" s="100"/>
      <c r="CD37" s="100"/>
      <c r="CE37" s="101"/>
      <c r="CF37" s="9"/>
      <c r="EM37" s="56" t="s">
        <v>77</v>
      </c>
      <c r="EN37" s="56"/>
      <c r="EO37" s="56"/>
      <c r="EP37" s="3" t="s">
        <v>78</v>
      </c>
      <c r="FY37" s="1" t="str">
        <f>"• "&amp;FY26&amp;" (per IEC atmospheric correction)"</f>
        <v>• 122.1 kV peak (per IEC atmospheric correction)</v>
      </c>
    </row>
    <row r="38" spans="2:217" ht="18" customHeight="1">
      <c r="B38" s="7"/>
      <c r="C38" s="50" t="s">
        <v>51</v>
      </c>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9"/>
      <c r="AR38" s="7"/>
      <c r="AS38" s="122"/>
      <c r="AT38" s="123"/>
      <c r="AU38" s="123"/>
      <c r="AV38" s="123"/>
      <c r="AW38" s="123"/>
      <c r="AX38" s="123"/>
      <c r="AY38" s="90"/>
      <c r="AZ38" s="90"/>
      <c r="BA38" s="90"/>
      <c r="BB38" s="90"/>
      <c r="BC38" s="90"/>
      <c r="BD38" s="90"/>
      <c r="BE38" s="90"/>
      <c r="BF38" s="90"/>
      <c r="BG38" s="90"/>
      <c r="BH38" s="90"/>
      <c r="BI38" s="90"/>
      <c r="BJ38" s="90"/>
      <c r="BK38" s="90"/>
      <c r="BL38" s="95"/>
      <c r="BM38" s="95"/>
      <c r="BN38" s="95"/>
      <c r="BO38" s="95"/>
      <c r="BP38" s="95"/>
      <c r="BQ38" s="95"/>
      <c r="BR38" s="95"/>
      <c r="BS38" s="95"/>
      <c r="BT38" s="95"/>
      <c r="BU38" s="95"/>
      <c r="BV38" s="95"/>
      <c r="BW38" s="95"/>
      <c r="BX38" s="96"/>
      <c r="BY38" s="99"/>
      <c r="BZ38" s="100"/>
      <c r="CA38" s="100"/>
      <c r="CB38" s="100"/>
      <c r="CC38" s="100"/>
      <c r="CD38" s="100"/>
      <c r="CE38" s="101"/>
      <c r="CF38" s="9"/>
      <c r="FC38" s="53" t="s">
        <v>72</v>
      </c>
      <c r="FD38" s="65">
        <f>IF(Z46="ft",0.4,1.3)*W46*AJ41</f>
        <v>13</v>
      </c>
      <c r="FE38" s="65"/>
      <c r="FF38" s="65"/>
      <c r="FG38" s="65"/>
      <c r="FH38" s="1" t="s">
        <v>69</v>
      </c>
      <c r="FY38" s="1" t="str">
        <f>"However, with the application of a coordinated "&amp;G39&amp;" with "&amp;FY28&amp;": "&amp;FY29&amp;", evaluated with an arrester lead length of "&amp;FY30&amp;" and an assumed surge rate-of-rise (di/dt) of "&amp;FY31&amp;", this requirement is successfully mitigated."</f>
        <v>However, with the application of a coordinated IEEE / ANSI C62.11 Standard Arrester with MCOV Rating: 12.7 (kV): Lightning Impulse Protective Level (LPL): 37.9 (kVcrest), evaluated with an arrester lead length of 1.0 (ft) and an assumed surge rate-of-rise (di/dt) of 10.0 kA/µs, this requirement is successfully mitigated.</v>
      </c>
    </row>
    <row r="39" spans="2:217" ht="18" customHeight="1">
      <c r="B39" s="7"/>
      <c r="G39" s="85" t="s">
        <v>97</v>
      </c>
      <c r="H39" s="85"/>
      <c r="I39" s="85"/>
      <c r="J39" s="85"/>
      <c r="K39" s="85"/>
      <c r="L39" s="85"/>
      <c r="M39" s="85"/>
      <c r="N39" s="85"/>
      <c r="O39" s="85"/>
      <c r="P39" s="85"/>
      <c r="Q39" s="85"/>
      <c r="R39" s="85"/>
      <c r="S39" s="85"/>
      <c r="AM39" s="57"/>
      <c r="AP39" s="9"/>
      <c r="AR39" s="7"/>
      <c r="AS39" s="73" t="s">
        <v>142</v>
      </c>
      <c r="AT39" s="74"/>
      <c r="AU39" s="74"/>
      <c r="AV39" s="74"/>
      <c r="AW39" s="74"/>
      <c r="AX39" s="74"/>
      <c r="AY39" s="89" t="str">
        <f>ROUND(FD34,2)&amp;CHAR(10)&amp;"kV crest"</f>
        <v>75.62
kV crest</v>
      </c>
      <c r="AZ39" s="89"/>
      <c r="BA39" s="89"/>
      <c r="BB39" s="89"/>
      <c r="BC39" s="89"/>
      <c r="BD39" s="89"/>
      <c r="BE39" s="89" t="str">
        <f>ROUND(FD40,2)&amp;CHAR(10)&amp;"kV crest"</f>
        <v>50.9
kV crest</v>
      </c>
      <c r="BF39" s="89"/>
      <c r="BG39" s="89"/>
      <c r="BH39" s="89"/>
      <c r="BI39" s="89"/>
      <c r="BJ39" s="89"/>
      <c r="BK39" s="89"/>
      <c r="BL39" s="176">
        <f>FD45</f>
        <v>0.48565816841178755</v>
      </c>
      <c r="BM39" s="79"/>
      <c r="BN39" s="79"/>
      <c r="BO39" s="79"/>
      <c r="BP39" s="79"/>
      <c r="BQ39" s="79"/>
      <c r="BR39" s="79"/>
      <c r="BS39" s="93" t="s">
        <v>139</v>
      </c>
      <c r="BT39" s="79"/>
      <c r="BU39" s="79"/>
      <c r="BV39" s="79"/>
      <c r="BW39" s="79"/>
      <c r="BX39" s="94"/>
      <c r="BY39" s="99" t="str">
        <f>FD46</f>
        <v>PASS</v>
      </c>
      <c r="BZ39" s="100"/>
      <c r="CA39" s="100"/>
      <c r="CB39" s="100"/>
      <c r="CC39" s="100"/>
      <c r="CD39" s="100"/>
      <c r="CE39" s="101"/>
      <c r="CF39" s="9"/>
      <c r="FC39" s="15" t="s">
        <v>80</v>
      </c>
      <c r="FD39" s="65">
        <f>SUM(Q42,FD38)</f>
        <v>54.7</v>
      </c>
      <c r="FE39" s="65"/>
      <c r="FF39" s="65"/>
      <c r="FG39" s="65"/>
      <c r="FH39" s="1" t="s">
        <v>69</v>
      </c>
      <c r="FY39" s="1" t="str">
        <f>"By explicitly calculating the inductive voltage drop and clamping transient surges to these mathematically proven safe levels, the standard "&amp;FY24&amp;_xlfn._LONGTEXT(" nameplated equipment is demonstrated to be fully protected and compliant at the target altitude. This methodology perfectly aligns with global standards, which explicitly endorse the use of surge arresters as an alternative to simply upsizing equipment r","atings:")</f>
        <v>By explicitly calculating the inductive voltage drop and clamping transient surges to these mathematically proven safe levels, the standard 95 kV BIL nameplated equipment is demonstrated to be fully protected and compliant at the target altitude. This methodology perfectly aligns with global standards, which explicitly endorse the use of surge arresters as an alternative to simply upsizing equipment ratings:</v>
      </c>
    </row>
    <row r="40" spans="2:217" ht="18">
      <c r="B40" s="7"/>
      <c r="P40" s="15" t="str">
        <f>IF($G$39=$EM$13,EY8,FT8)</f>
        <v>MCOV Rating:</v>
      </c>
      <c r="Q40" s="141">
        <v>12.7</v>
      </c>
      <c r="R40" s="142"/>
      <c r="S40" s="143"/>
      <c r="T40" s="1" t="str">
        <f>IF($G$39=$EM$13,FA8,FV8)</f>
        <v>(kV)</v>
      </c>
      <c r="AP40" s="9"/>
      <c r="AR40" s="7"/>
      <c r="AS40" s="73"/>
      <c r="AT40" s="74"/>
      <c r="AU40" s="74"/>
      <c r="AV40" s="74"/>
      <c r="AW40" s="74"/>
      <c r="AX40" s="74"/>
      <c r="AY40" s="89"/>
      <c r="AZ40" s="89"/>
      <c r="BA40" s="89"/>
      <c r="BB40" s="89"/>
      <c r="BC40" s="89"/>
      <c r="BD40" s="89"/>
      <c r="BE40" s="89"/>
      <c r="BF40" s="89"/>
      <c r="BG40" s="89"/>
      <c r="BH40" s="89"/>
      <c r="BI40" s="89"/>
      <c r="BJ40" s="89"/>
      <c r="BK40" s="89"/>
      <c r="BL40" s="79"/>
      <c r="BM40" s="79"/>
      <c r="BN40" s="79"/>
      <c r="BO40" s="79"/>
      <c r="BP40" s="79"/>
      <c r="BQ40" s="79"/>
      <c r="BR40" s="79"/>
      <c r="BS40" s="79"/>
      <c r="BT40" s="79"/>
      <c r="BU40" s="79"/>
      <c r="BV40" s="79"/>
      <c r="BW40" s="79"/>
      <c r="BX40" s="94"/>
      <c r="BY40" s="99"/>
      <c r="BZ40" s="100"/>
      <c r="CA40" s="100"/>
      <c r="CB40" s="100"/>
      <c r="CC40" s="100"/>
      <c r="CD40" s="100"/>
      <c r="CE40" s="101"/>
      <c r="CF40" s="9"/>
      <c r="FC40" s="15" t="s">
        <v>81</v>
      </c>
      <c r="FD40" s="65">
        <f>SUM(FD38,Q41)</f>
        <v>50.9</v>
      </c>
      <c r="FE40" s="65"/>
      <c r="FF40" s="65"/>
      <c r="FG40" s="65"/>
      <c r="FH40" s="1" t="s">
        <v>69</v>
      </c>
    </row>
    <row r="41" spans="2:217" ht="18" customHeight="1">
      <c r="B41" s="7"/>
      <c r="P41" s="15" t="str">
        <f t="shared" ref="P41:P43" si="0">IF($G$39=$EM$13,EY9,FT9)</f>
        <v>Lightning Impulse Protective Level (LPL):</v>
      </c>
      <c r="Q41" s="136">
        <v>37.9</v>
      </c>
      <c r="R41" s="137"/>
      <c r="S41" s="138"/>
      <c r="T41" s="1" t="str">
        <f t="shared" ref="T41:T43" si="1">IF($G$39=$EM$13,FA9,FV9)</f>
        <v>(kVcrest)</v>
      </c>
      <c r="W41" s="1" t="s">
        <v>8</v>
      </c>
      <c r="AI41" s="58" t="s">
        <v>125</v>
      </c>
      <c r="AJ41" s="107">
        <v>10</v>
      </c>
      <c r="AK41" s="108"/>
      <c r="AL41" s="109"/>
      <c r="AM41" s="1" t="s">
        <v>73</v>
      </c>
      <c r="AP41" s="9"/>
      <c r="AR41" s="7"/>
      <c r="AS41" s="122"/>
      <c r="AT41" s="123"/>
      <c r="AU41" s="123"/>
      <c r="AV41" s="123"/>
      <c r="AW41" s="123"/>
      <c r="AX41" s="123"/>
      <c r="AY41" s="90"/>
      <c r="AZ41" s="90"/>
      <c r="BA41" s="90"/>
      <c r="BB41" s="90"/>
      <c r="BC41" s="90"/>
      <c r="BD41" s="90"/>
      <c r="BE41" s="90"/>
      <c r="BF41" s="90"/>
      <c r="BG41" s="90"/>
      <c r="BH41" s="90"/>
      <c r="BI41" s="90"/>
      <c r="BJ41" s="90"/>
      <c r="BK41" s="90"/>
      <c r="BL41" s="95"/>
      <c r="BM41" s="95"/>
      <c r="BN41" s="95"/>
      <c r="BO41" s="95"/>
      <c r="BP41" s="95"/>
      <c r="BQ41" s="95"/>
      <c r="BR41" s="95"/>
      <c r="BS41" s="95"/>
      <c r="BT41" s="95"/>
      <c r="BU41" s="95"/>
      <c r="BV41" s="95"/>
      <c r="BW41" s="95"/>
      <c r="BX41" s="96"/>
      <c r="BY41" s="99"/>
      <c r="BZ41" s="100"/>
      <c r="CA41" s="100"/>
      <c r="CB41" s="100"/>
      <c r="CC41" s="100"/>
      <c r="CD41" s="100"/>
      <c r="CE41" s="101"/>
      <c r="CF41" s="9"/>
      <c r="CS41" s="37"/>
      <c r="DB41" s="37"/>
      <c r="DC41" s="37"/>
      <c r="DD41" s="37"/>
      <c r="EM41" s="56" t="s">
        <v>74</v>
      </c>
      <c r="EN41" s="56"/>
      <c r="EO41" s="56"/>
      <c r="EP41" s="3" t="s">
        <v>79</v>
      </c>
    </row>
    <row r="42" spans="2:217" ht="18" customHeight="1">
      <c r="B42" s="7"/>
      <c r="P42" s="15" t="str">
        <f t="shared" si="0"/>
        <v>Front-of-Wave Protective Level (FOW):</v>
      </c>
      <c r="Q42" s="136">
        <v>41.7</v>
      </c>
      <c r="R42" s="137"/>
      <c r="S42" s="138"/>
      <c r="T42" s="1" t="str">
        <f t="shared" si="1"/>
        <v>(kVcrest)</v>
      </c>
      <c r="Z42" s="37"/>
      <c r="AA42" s="37"/>
      <c r="AB42" s="37"/>
      <c r="AP42" s="9"/>
      <c r="AR42" s="7"/>
      <c r="AS42" s="71" t="s">
        <v>133</v>
      </c>
      <c r="AT42" s="72"/>
      <c r="AU42" s="72"/>
      <c r="AV42" s="72"/>
      <c r="AW42" s="72"/>
      <c r="AX42" s="72"/>
      <c r="AY42" s="91" t="str">
        <f>ROUND(FD36,2)&amp;CHAR(10)&amp;"kV rms"</f>
        <v>28.66
kV rms</v>
      </c>
      <c r="AZ42" s="91"/>
      <c r="BA42" s="91"/>
      <c r="BB42" s="91"/>
      <c r="BC42" s="91"/>
      <c r="BD42" s="91"/>
      <c r="BE42" s="91" t="str">
        <f>"System (Um)"&amp;CHAR(10)&amp;ROUND(N31,2)&amp;CHAR(10)&amp;"kV rms"</f>
        <v>System (Um)
15.18
kV rms</v>
      </c>
      <c r="BF42" s="91"/>
      <c r="BG42" s="91"/>
      <c r="BH42" s="91"/>
      <c r="BI42" s="91"/>
      <c r="BJ42" s="91"/>
      <c r="BK42" s="91"/>
      <c r="BL42" s="77" t="s">
        <v>138</v>
      </c>
      <c r="BM42" s="78"/>
      <c r="BN42" s="78"/>
      <c r="BO42" s="78"/>
      <c r="BP42" s="78"/>
      <c r="BQ42" s="78"/>
      <c r="BR42" s="78"/>
      <c r="BS42" s="78" t="s">
        <v>140</v>
      </c>
      <c r="BT42" s="78"/>
      <c r="BU42" s="78"/>
      <c r="BV42" s="78"/>
      <c r="BW42" s="78"/>
      <c r="BX42" s="97"/>
      <c r="BY42" s="99" t="str">
        <f>FD49</f>
        <v>PASS</v>
      </c>
      <c r="BZ42" s="100"/>
      <c r="CA42" s="100"/>
      <c r="CB42" s="100"/>
      <c r="CC42" s="100"/>
      <c r="CD42" s="100"/>
      <c r="CE42" s="101"/>
      <c r="CF42" s="9"/>
      <c r="FC42" s="15" t="s">
        <v>84</v>
      </c>
      <c r="FD42" s="81">
        <f>((FD35/FD39)-1)</f>
        <v>0.58981720087722045</v>
      </c>
      <c r="FE42" s="81"/>
      <c r="FF42" s="81"/>
      <c r="FG42" s="81"/>
      <c r="GA42" s="1" t="s">
        <v>129</v>
      </c>
      <c r="GS42" s="1" t="s">
        <v>130</v>
      </c>
    </row>
    <row r="43" spans="2:217" ht="18" customHeight="1">
      <c r="B43" s="7"/>
      <c r="P43" s="15" t="str">
        <f t="shared" si="0"/>
        <v>Switching Impulse Protective Level (SPL):</v>
      </c>
      <c r="Q43" s="136">
        <v>29.7</v>
      </c>
      <c r="R43" s="137"/>
      <c r="S43" s="138"/>
      <c r="T43" s="1" t="str">
        <f t="shared" si="1"/>
        <v>(kVcrest)</v>
      </c>
      <c r="AB43" s="82" t="s">
        <v>124</v>
      </c>
      <c r="AC43" s="82"/>
      <c r="AD43" s="82"/>
      <c r="AE43" s="82"/>
      <c r="AF43" s="82"/>
      <c r="AG43" s="82"/>
      <c r="AH43" s="82"/>
      <c r="AI43" s="82"/>
      <c r="AJ43" s="82"/>
      <c r="AK43" s="82"/>
      <c r="AL43" s="82"/>
      <c r="AM43" s="82"/>
      <c r="AN43" s="82"/>
      <c r="AO43" s="82"/>
      <c r="AP43" s="9"/>
      <c r="AR43" s="7"/>
      <c r="AS43" s="73"/>
      <c r="AT43" s="74"/>
      <c r="AU43" s="74"/>
      <c r="AV43" s="74"/>
      <c r="AW43" s="74"/>
      <c r="AX43" s="74"/>
      <c r="AY43" s="89"/>
      <c r="AZ43" s="89"/>
      <c r="BA43" s="89"/>
      <c r="BB43" s="89"/>
      <c r="BC43" s="89"/>
      <c r="BD43" s="89"/>
      <c r="BE43" s="89"/>
      <c r="BF43" s="89"/>
      <c r="BG43" s="89"/>
      <c r="BH43" s="89"/>
      <c r="BI43" s="89"/>
      <c r="BJ43" s="89"/>
      <c r="BK43" s="89"/>
      <c r="BL43" s="79"/>
      <c r="BM43" s="79"/>
      <c r="BN43" s="79"/>
      <c r="BO43" s="79"/>
      <c r="BP43" s="79"/>
      <c r="BQ43" s="79"/>
      <c r="BR43" s="79"/>
      <c r="BS43" s="79"/>
      <c r="BT43" s="79"/>
      <c r="BU43" s="79"/>
      <c r="BV43" s="79"/>
      <c r="BW43" s="79"/>
      <c r="BX43" s="94"/>
      <c r="BY43" s="99"/>
      <c r="BZ43" s="100"/>
      <c r="CA43" s="100"/>
      <c r="CB43" s="100"/>
      <c r="CC43" s="100"/>
      <c r="CD43" s="100"/>
      <c r="CE43" s="101"/>
      <c r="CF43" s="9"/>
      <c r="EX43" s="55"/>
      <c r="FC43" s="15" t="s">
        <v>85</v>
      </c>
      <c r="FD43" s="65" t="str">
        <f>IF(FD42&gt;=0.2,"PASS","FAIL")</f>
        <v>PASS</v>
      </c>
      <c r="FE43" s="65"/>
      <c r="FF43" s="65"/>
      <c r="FG43" s="65"/>
      <c r="FH43" s="55"/>
      <c r="GA43" s="68" t="str">
        <f>_xlfn._LONGTEXT("Using IEEE C62.22 and IEC 60071-2 guidelines, this analysis demonstrates that the selected surge arrester limits transient overvoltages to levels safely below the altitude derated dielectric strength of the equipment.
Without proper insulation coordinati","on, physical altitude derating alone would necessitate higher equipment insulation ratings. To achieve a ")&amp;FY24&amp;" site requirement at an altitude of "&amp;FY27&amp;", standard practice without surge protection would require the equipment to have a minimum sea-level nameplate rating of:"&amp;CHAR(10)&amp;CHAR(10)&amp;CHAR(9)&amp;"    • "&amp;FY25&amp;" (per IEEE physical derating)"&amp;CHAR(10)&amp;CHAR(9)&amp;"    • "&amp;FY26&amp;" (per IEC atmospheric correction)
However, with the application of a coordinated "&amp;G39&amp;" ("&amp;FY28&amp;", "&amp;FY29&amp;"), evaluated with an arrester lead length of "&amp;FY30&amp;" and an assumed surge rate-of-rise (di/dt) of "&amp;FY31&amp;_xlfn._LONGTEXT(", the resulting surge stresses are limited to levels that satisfy the required insulation coordination margins.
By explicitly accounting for the inductive voltage drop in the arrester leads and the corresponding surge clamping performance, transient over","voltages are demonstrated per the IEEE and IEC standards to remain within the safe dielectric capability of the equipment. As a result, the standard ")&amp;FY24&amp;_xlfn._LONGTEXT(" nameplated equipment is confirmed to be fully protected and compliant at the target altitude. This methodology aligns with globally recognized insulation coordination practices that explicitly support the use of surge arresters to control transient overv","oltages rather than unnecessarily increasing equipment insulation ratings. The validity of this approach is supported by multiple IEEE and IEC standards governing high-altitude equipment application and insulation coordination. A brief technical summary a","nd relevant standard references supporting this PASS determination are provided in the justification section at the end of this report.")</f>
        <v>Using IEEE C62.22 and IEC 60071-2 guidelines, this analysis demonstrates that the selected surge arrester limits transient overvoltages to levels safely below the altitude derated dielectric strength of the equipment.
Without proper insulation coordination, physical altitude derating alone would necessitate higher equipment insulation ratings. To achieve a 95 kV BIL site requirement at an altitude of 10,000 (ft), standard practice without surge protection would require the equipment to have a minimum sea-level nameplate rating of:
	    • 119.3 kV crest (per IEEE physical derating)
	    • 122.1 kV peak (per IEC atmospheric correction)
However, with the application of a coordinated IEEE / ANSI C62.11 Standard Arrester (MCOV Rating: 12.7 (kV), Lightning Impulse Protective Level (LPL): 37.9 (kVcrest)), evaluated with an arrester lead length of 1.0 (ft) and an assumed surge rate-of-rise (di/dt) of 10.0 kA/µs, the resulting surge stresses are limited to levels that satisfy the required insulation coordination margins.
By explicitly accounting for the inductive voltage drop in the arrester leads and the corresponding surge clamping performance, transient overvoltages are demonstrated per the IEEE and IEC standards to remain within the safe dielectric capability of the equipment. As a result, the standard 95 kV BIL nameplated equipment is confirmed to be fully protected and compliant at the target altitude. This methodology aligns with globally recognized insulation coordination practices that explicitly support the use of surge arresters to control transient overvoltages rather than unnecessarily increasing equipment insulation ratings. The validity of this approach is supported by multiple IEEE and IEC standards governing high-altitude equipment application and insulation coordination. A brief technical summary and relevant standard references supporting this PASS determination are provided in the justification section at the end of this report.</v>
      </c>
      <c r="GB43" s="68"/>
      <c r="GC43" s="68"/>
      <c r="GD43" s="68"/>
      <c r="GE43" s="68"/>
      <c r="GF43" s="68"/>
      <c r="GG43" s="68"/>
      <c r="GH43" s="68"/>
      <c r="GI43" s="68"/>
      <c r="GJ43" s="68"/>
      <c r="GK43" s="68"/>
      <c r="GL43" s="68"/>
      <c r="GM43" s="68"/>
      <c r="GN43" s="68"/>
      <c r="GO43" s="68"/>
      <c r="GP43" s="68"/>
      <c r="GQ43" s="68"/>
      <c r="GS43" s="68" t="str">
        <f>_xlfn._LONGTEXT("Using IEEE C62.22 and IEC 60071-2, this analysis indicates that the currently selected surge arrester and installation parameters do not adequately restrict transient overvoltages to safe levels below the altitude-derated dielectric strength of the equipm","ent.")&amp;CHAR(10)&amp;CHAR(10)&amp;
"At the target altitude of "&amp;FY27&amp;", the standard "&amp;FY24&amp;" nameplate equipment experiences a reduction in dielectric strength due to reduced air density. Under the presently evaluated conditions including a coordinated "&amp;G39&amp;" with "&amp;FY28&amp;": "&amp;FY29&amp;", an arrester lead length of "&amp;FY30&amp;", and an assumed surge rate-of-rise (di/dt) of "&amp;FY31&amp;", the required protective margins are not met, and compliance cannot be demonstrated for this installation configuration."&amp;CHAR(10)&amp;CHAR(10)&amp;
"Recommended Mitigation Strategies: To achieve a compliant, protected installation without blindly upsizing to a significantly higher equipment rating, IEEE C62.22 Section 5.2.6 (Evaluation of alternatives) recommends evaluating the following measures:"&amp;CHAR(10)&amp;CHAR(10)&amp;
CHAR(9)&amp;_xlfn._LONGTEXT("1. Reduce Arrester Lead Length (Recommended First Step): The inductive voltage drop across connecting leads can add materially to the total surge voltage seen by the equipment. Designing the installation to utilize the shortest practical lead length is of","ten the most cost-effective path to achieving a ""PASS"".")&amp;CHAR(10)&amp;CHAR(10)&amp;
CHAR(9)&amp;_xlfn._LONGTEXT("2. Improve Arrester Protective Characteristics: Select an arrester with lower discharge clamping voltages. This may be achieved by upgrading arrester class (e.g., Intermediate to Station Class) and or selecting a surge arrester with improved Front-of-Wave"," and Lightning Protective Levels.")&amp;CHAR(10)&amp;CHAR(10)&amp;
CHAR(9)&amp;_xlfn._LONGTEXT("3. Partially Increase Equipment Insulation Rating: If lead length reduction and arrester optimization cannot achieve the required protective margins, the equipment basic insulation level (BIL) must be increased to the next standard rating to safely withst","and the altitude-adjusted stresses.")</f>
        <v>Using IEEE C62.22 and IEC 60071-2, this analysis indicates that the currently selected surge arrester and installation parameters do not adequately restrict transient overvoltages to safe levels below the altitude-derated dielectric strength of the equipment.
At the target altitude of 10,000 (ft), the standard 95 kV BIL nameplate equipment experiences a reduction in dielectric strength due to reduced air density. Under the presently evaluated conditions including a coordinated IEEE / ANSI C62.11 Standard Arrester with MCOV Rating: 12.7 (kV): Lightning Impulse Protective Level (LPL): 37.9 (kVcrest), an arrester lead length of 1.0 (ft), and an assumed surge rate-of-rise (di/dt) of 10.0 kA/µs, the required protective margins are not met, and compliance cannot be demonstrated for this installation configuration.
Recommended Mitigation Strategies: To achieve a compliant, protected installation without blindly upsizing to a significantly higher equipment rating, IEEE C62.22 Section 5.2.6 (Evaluation of alternatives) recommends evaluating the following measures:
	1. Reduce Arrester Lead Length (Recommended First Step): The inductive voltage drop across connecting leads can add materially to the total surge voltage seen by the equipment. Designing the installation to utilize the shortest practical lead length is often the most cost-effective path to achieving a "PASS".
	2. Improve Arrester Protective Characteristics: Select an arrester with lower discharge clamping voltages. This may be achieved by upgrading arrester class (e.g., Intermediate to Station Class) and or selecting a surge arrester with improved Front-of-Wave and Lightning Protective Levels.
	3. Partially Increase Equipment Insulation Rating: If lead length reduction and arrester optimization cannot achieve the required protective margins, the equipment basic insulation level (BIL) must be increased to the next standard rating to safely withstand the altitude-adjusted stresses.</v>
      </c>
      <c r="GT43" s="68"/>
      <c r="GU43" s="68"/>
      <c r="GV43" s="68"/>
      <c r="GW43" s="68"/>
      <c r="GX43" s="68"/>
      <c r="GY43" s="68"/>
      <c r="GZ43" s="68"/>
      <c r="HA43" s="68"/>
      <c r="HB43" s="68"/>
      <c r="HC43" s="68"/>
      <c r="HD43" s="68"/>
      <c r="HE43" s="68"/>
      <c r="HF43" s="68"/>
      <c r="HG43" s="68"/>
      <c r="HH43" s="68"/>
      <c r="HI43" s="68"/>
    </row>
    <row r="44" spans="2:217" ht="18" customHeight="1">
      <c r="B44" s="7"/>
      <c r="AB44" s="82"/>
      <c r="AC44" s="82"/>
      <c r="AD44" s="82"/>
      <c r="AE44" s="82"/>
      <c r="AF44" s="82"/>
      <c r="AG44" s="82"/>
      <c r="AH44" s="82"/>
      <c r="AI44" s="82"/>
      <c r="AJ44" s="82"/>
      <c r="AK44" s="82"/>
      <c r="AL44" s="82"/>
      <c r="AM44" s="82"/>
      <c r="AN44" s="82"/>
      <c r="AO44" s="82"/>
      <c r="AP44" s="9"/>
      <c r="AR44" s="7"/>
      <c r="AS44" s="75"/>
      <c r="AT44" s="76"/>
      <c r="AU44" s="76"/>
      <c r="AV44" s="76"/>
      <c r="AW44" s="76"/>
      <c r="AX44" s="76"/>
      <c r="AY44" s="92"/>
      <c r="AZ44" s="92"/>
      <c r="BA44" s="92"/>
      <c r="BB44" s="92"/>
      <c r="BC44" s="92"/>
      <c r="BD44" s="92"/>
      <c r="BE44" s="92"/>
      <c r="BF44" s="92"/>
      <c r="BG44" s="92"/>
      <c r="BH44" s="92"/>
      <c r="BI44" s="92"/>
      <c r="BJ44" s="92"/>
      <c r="BK44" s="92"/>
      <c r="BL44" s="80"/>
      <c r="BM44" s="80"/>
      <c r="BN44" s="80"/>
      <c r="BO44" s="80"/>
      <c r="BP44" s="80"/>
      <c r="BQ44" s="80"/>
      <c r="BR44" s="80"/>
      <c r="BS44" s="80"/>
      <c r="BT44" s="80"/>
      <c r="BU44" s="80"/>
      <c r="BV44" s="80"/>
      <c r="BW44" s="80"/>
      <c r="BX44" s="98"/>
      <c r="BY44" s="102"/>
      <c r="BZ44" s="103"/>
      <c r="CA44" s="103"/>
      <c r="CB44" s="103"/>
      <c r="CC44" s="103"/>
      <c r="CD44" s="103"/>
      <c r="CE44" s="104"/>
      <c r="CF44" s="9"/>
      <c r="GA44" s="68"/>
      <c r="GB44" s="68"/>
      <c r="GC44" s="68"/>
      <c r="GD44" s="68"/>
      <c r="GE44" s="68"/>
      <c r="GF44" s="68"/>
      <c r="GG44" s="68"/>
      <c r="GH44" s="68"/>
      <c r="GI44" s="68"/>
      <c r="GJ44" s="68"/>
      <c r="GK44" s="68"/>
      <c r="GL44" s="68"/>
      <c r="GM44" s="68"/>
      <c r="GN44" s="68"/>
      <c r="GO44" s="68"/>
      <c r="GP44" s="68"/>
      <c r="GQ44" s="68"/>
      <c r="GS44" s="68"/>
      <c r="GT44" s="68"/>
      <c r="GU44" s="68"/>
      <c r="GV44" s="68"/>
      <c r="GW44" s="68"/>
      <c r="GX44" s="68"/>
      <c r="GY44" s="68"/>
      <c r="GZ44" s="68"/>
      <c r="HA44" s="68"/>
      <c r="HB44" s="68"/>
      <c r="HC44" s="68"/>
      <c r="HD44" s="68"/>
      <c r="HE44" s="68"/>
      <c r="HF44" s="68"/>
      <c r="HG44" s="68"/>
      <c r="HH44" s="68"/>
      <c r="HI44" s="68"/>
    </row>
    <row r="45" spans="2:217" ht="18">
      <c r="B45" s="7"/>
      <c r="C45" s="50" t="s">
        <v>53</v>
      </c>
      <c r="D45" s="24"/>
      <c r="E45" s="24"/>
      <c r="F45" s="24"/>
      <c r="G45" s="24"/>
      <c r="H45" s="24"/>
      <c r="I45" s="24"/>
      <c r="J45" s="24"/>
      <c r="K45" s="24"/>
      <c r="L45" s="24"/>
      <c r="M45" s="24"/>
      <c r="N45" s="24"/>
      <c r="O45" s="24"/>
      <c r="P45" s="24"/>
      <c r="Q45" s="24"/>
      <c r="R45" s="24"/>
      <c r="S45" s="24"/>
      <c r="T45" s="24"/>
      <c r="U45" s="24"/>
      <c r="V45" s="24"/>
      <c r="W45" s="24"/>
      <c r="X45" s="24"/>
      <c r="Y45" s="24"/>
      <c r="Z45" s="24"/>
      <c r="AA45" s="24"/>
      <c r="AB45" s="84"/>
      <c r="AC45" s="84"/>
      <c r="AD45" s="84"/>
      <c r="AE45" s="84"/>
      <c r="AF45" s="84"/>
      <c r="AG45" s="84"/>
      <c r="AH45" s="84"/>
      <c r="AI45" s="84"/>
      <c r="AJ45" s="84"/>
      <c r="AK45" s="84"/>
      <c r="AL45" s="84"/>
      <c r="AM45" s="84"/>
      <c r="AN45" s="84"/>
      <c r="AO45" s="84"/>
      <c r="AP45" s="9"/>
      <c r="AR45" s="7"/>
      <c r="AS45" s="134" t="s">
        <v>154</v>
      </c>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9"/>
      <c r="CI45" s="45"/>
      <c r="CJ45" s="45"/>
      <c r="CK45" s="45"/>
      <c r="CL45" s="45"/>
      <c r="CM45" s="45"/>
      <c r="CN45" s="45"/>
      <c r="CO45" s="45"/>
      <c r="CP45" s="45"/>
      <c r="CQ45" s="45"/>
      <c r="CR45" s="45"/>
      <c r="CS45" s="45"/>
      <c r="CT45" s="45"/>
      <c r="CU45" s="45"/>
      <c r="CV45" s="45"/>
      <c r="CW45" s="45"/>
      <c r="CX45" s="45"/>
      <c r="CY45" s="45"/>
      <c r="CZ45" s="45"/>
      <c r="DA45" s="45"/>
      <c r="DB45" s="45"/>
      <c r="DC45" s="45"/>
      <c r="DD45" s="45"/>
      <c r="DE45" s="45"/>
      <c r="DF45" s="45"/>
      <c r="DG45" s="45"/>
      <c r="DH45" s="45"/>
      <c r="DI45" s="45"/>
      <c r="DJ45" s="45"/>
      <c r="DK45" s="45"/>
      <c r="DL45" s="45"/>
      <c r="DM45" s="45"/>
      <c r="DN45" s="45"/>
      <c r="DO45" s="45"/>
      <c r="DP45" s="45"/>
      <c r="DQ45" s="45"/>
      <c r="DR45" s="45"/>
      <c r="DS45" s="45"/>
      <c r="DT45" s="45"/>
      <c r="DU45" s="45"/>
      <c r="FC45" s="15" t="s">
        <v>86</v>
      </c>
      <c r="FD45" s="81">
        <f>((FD34/FD40)-1)</f>
        <v>0.48565816841178755</v>
      </c>
      <c r="FE45" s="81"/>
      <c r="FF45" s="81"/>
      <c r="FG45" s="81"/>
      <c r="GA45" s="68"/>
      <c r="GB45" s="68"/>
      <c r="GC45" s="68"/>
      <c r="GD45" s="68"/>
      <c r="GE45" s="68"/>
      <c r="GF45" s="68"/>
      <c r="GG45" s="68"/>
      <c r="GH45" s="68"/>
      <c r="GI45" s="68"/>
      <c r="GJ45" s="68"/>
      <c r="GK45" s="68"/>
      <c r="GL45" s="68"/>
      <c r="GM45" s="68"/>
      <c r="GN45" s="68"/>
      <c r="GO45" s="68"/>
      <c r="GP45" s="68"/>
      <c r="GQ45" s="68"/>
      <c r="GS45" s="68"/>
      <c r="GT45" s="68"/>
      <c r="GU45" s="68"/>
      <c r="GV45" s="68"/>
      <c r="GW45" s="68"/>
      <c r="GX45" s="68"/>
      <c r="GY45" s="68"/>
      <c r="GZ45" s="68"/>
      <c r="HA45" s="68"/>
      <c r="HB45" s="68"/>
      <c r="HC45" s="68"/>
      <c r="HD45" s="68"/>
      <c r="HE45" s="68"/>
      <c r="HF45" s="68"/>
      <c r="HG45" s="68"/>
      <c r="HH45" s="68"/>
      <c r="HI45" s="68"/>
    </row>
    <row r="46" spans="2:217" ht="18" customHeight="1">
      <c r="B46" s="7"/>
      <c r="V46" s="15" t="s">
        <v>54</v>
      </c>
      <c r="W46" s="141">
        <v>1</v>
      </c>
      <c r="X46" s="142"/>
      <c r="Y46" s="143"/>
      <c r="Z46" s="145" t="s">
        <v>64</v>
      </c>
      <c r="AA46" s="145"/>
      <c r="AP46" s="25"/>
      <c r="AR46" s="7"/>
      <c r="AS46" s="135"/>
      <c r="AT46" s="135"/>
      <c r="AU46" s="135"/>
      <c r="AV46" s="135"/>
      <c r="AW46" s="135"/>
      <c r="AX46" s="135"/>
      <c r="AY46" s="135"/>
      <c r="AZ46" s="135"/>
      <c r="BA46" s="135"/>
      <c r="BB46" s="135"/>
      <c r="BC46" s="135"/>
      <c r="BD46" s="135"/>
      <c r="BE46" s="135"/>
      <c r="BF46" s="135"/>
      <c r="BG46" s="135"/>
      <c r="BH46" s="135"/>
      <c r="BI46" s="135"/>
      <c r="BJ46" s="135"/>
      <c r="BK46" s="135"/>
      <c r="BL46" s="135"/>
      <c r="BM46" s="135"/>
      <c r="BN46" s="135"/>
      <c r="BO46" s="135"/>
      <c r="BP46" s="135"/>
      <c r="BQ46" s="135"/>
      <c r="BR46" s="135"/>
      <c r="BS46" s="135"/>
      <c r="BT46" s="135"/>
      <c r="BU46" s="135"/>
      <c r="BV46" s="135"/>
      <c r="BW46" s="135"/>
      <c r="BX46" s="135"/>
      <c r="BY46" s="135"/>
      <c r="BZ46" s="135"/>
      <c r="CA46" s="135"/>
      <c r="CB46" s="135"/>
      <c r="CC46" s="135"/>
      <c r="CD46" s="135"/>
      <c r="CE46" s="135"/>
      <c r="CF46" s="9"/>
      <c r="CI46" s="45"/>
      <c r="CJ46" s="45"/>
      <c r="CK46" s="45"/>
      <c r="CL46" s="45"/>
      <c r="CM46" s="45"/>
      <c r="CN46" s="45"/>
      <c r="CO46" s="45"/>
      <c r="CP46" s="45"/>
      <c r="CQ46" s="45"/>
      <c r="CR46" s="45"/>
      <c r="CS46" s="45"/>
      <c r="CT46" s="45"/>
      <c r="CU46" s="45"/>
      <c r="CV46" s="45"/>
      <c r="CW46" s="45"/>
      <c r="CX46" s="45"/>
      <c r="CY46" s="45"/>
      <c r="CZ46" s="45"/>
      <c r="DA46" s="45"/>
      <c r="DB46" s="45"/>
      <c r="DC46" s="45"/>
      <c r="DD46" s="45"/>
      <c r="DE46" s="45"/>
      <c r="DF46" s="45"/>
      <c r="DG46" s="45"/>
      <c r="DH46" s="45"/>
      <c r="DI46" s="45"/>
      <c r="DJ46" s="45"/>
      <c r="DK46" s="45"/>
      <c r="DL46" s="45"/>
      <c r="DM46" s="45"/>
      <c r="DN46" s="45"/>
      <c r="DO46" s="45"/>
      <c r="DP46" s="45"/>
      <c r="DQ46" s="45"/>
      <c r="DR46" s="45"/>
      <c r="DS46" s="45"/>
      <c r="DT46" s="45"/>
      <c r="DU46" s="45"/>
      <c r="EX46" s="55"/>
      <c r="FC46" s="15" t="s">
        <v>85</v>
      </c>
      <c r="FD46" s="65" t="str">
        <f>IF(FD45&gt;=0.2,"PASS","FAIL")</f>
        <v>PASS</v>
      </c>
      <c r="FE46" s="65"/>
      <c r="FF46" s="65"/>
      <c r="FG46" s="65"/>
      <c r="FH46" s="55"/>
      <c r="GA46" s="68"/>
      <c r="GB46" s="68"/>
      <c r="GC46" s="68"/>
      <c r="GD46" s="68"/>
      <c r="GE46" s="68"/>
      <c r="GF46" s="68"/>
      <c r="GG46" s="68"/>
      <c r="GH46" s="68"/>
      <c r="GI46" s="68"/>
      <c r="GJ46" s="68"/>
      <c r="GK46" s="68"/>
      <c r="GL46" s="68"/>
      <c r="GM46" s="68"/>
      <c r="GN46" s="68"/>
      <c r="GO46" s="68"/>
      <c r="GP46" s="68"/>
      <c r="GQ46" s="68"/>
      <c r="GS46" s="68"/>
      <c r="GT46" s="68"/>
      <c r="GU46" s="68"/>
      <c r="GV46" s="68"/>
      <c r="GW46" s="68"/>
      <c r="GX46" s="68"/>
      <c r="GY46" s="68"/>
      <c r="GZ46" s="68"/>
      <c r="HA46" s="68"/>
      <c r="HB46" s="68"/>
      <c r="HC46" s="68"/>
      <c r="HD46" s="68"/>
      <c r="HE46" s="68"/>
      <c r="HF46" s="68"/>
      <c r="HG46" s="68"/>
      <c r="HH46" s="68"/>
      <c r="HI46" s="68"/>
    </row>
    <row r="47" spans="2:217" ht="18" customHeight="1" thickBot="1">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EB47" s="2"/>
      <c r="EC47" s="2"/>
      <c r="ED47" s="2"/>
      <c r="EE47" s="2"/>
      <c r="EF47" s="2"/>
      <c r="EG47" s="2"/>
      <c r="EH47" s="2"/>
      <c r="EI47" s="2"/>
      <c r="EJ47" s="2"/>
      <c r="GA47" s="68"/>
      <c r="GB47" s="68"/>
      <c r="GC47" s="68"/>
      <c r="GD47" s="68"/>
      <c r="GE47" s="68"/>
      <c r="GF47" s="68"/>
      <c r="GG47" s="68"/>
      <c r="GH47" s="68"/>
      <c r="GI47" s="68"/>
      <c r="GJ47" s="68"/>
      <c r="GK47" s="68"/>
      <c r="GL47" s="68"/>
      <c r="GM47" s="68"/>
      <c r="GN47" s="68"/>
      <c r="GO47" s="68"/>
      <c r="GP47" s="68"/>
      <c r="GQ47" s="68"/>
      <c r="GS47" s="68"/>
      <c r="GT47" s="68"/>
      <c r="GU47" s="68"/>
      <c r="GV47" s="68"/>
      <c r="GW47" s="68"/>
      <c r="GX47" s="68"/>
      <c r="GY47" s="68"/>
      <c r="GZ47" s="68"/>
      <c r="HA47" s="68"/>
      <c r="HB47" s="68"/>
      <c r="HC47" s="68"/>
      <c r="HD47" s="68"/>
      <c r="HE47" s="68"/>
      <c r="HF47" s="68"/>
      <c r="HG47" s="68"/>
      <c r="HH47" s="68"/>
      <c r="HI47" s="68"/>
    </row>
    <row r="48" spans="2:217" ht="18" customHeight="1">
      <c r="B48" s="7"/>
      <c r="D48" s="26" t="s">
        <v>4</v>
      </c>
      <c r="AP48" s="9"/>
      <c r="AR48" s="7"/>
      <c r="AT48" s="26" t="s">
        <v>4</v>
      </c>
      <c r="CE48" s="15" t="s">
        <v>5</v>
      </c>
      <c r="CF48" s="9"/>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EB48" s="2"/>
      <c r="EC48" s="2"/>
      <c r="ED48" s="2"/>
      <c r="EE48" s="2"/>
      <c r="EF48" s="2"/>
      <c r="EG48" s="2"/>
      <c r="EH48" s="2"/>
      <c r="EI48" s="2"/>
      <c r="EJ48" s="2"/>
      <c r="FC48" s="15" t="s">
        <v>87</v>
      </c>
      <c r="FD48" s="1" t="s">
        <v>88</v>
      </c>
      <c r="GA48" s="68"/>
      <c r="GB48" s="68"/>
      <c r="GC48" s="68"/>
      <c r="GD48" s="68"/>
      <c r="GE48" s="68"/>
      <c r="GF48" s="68"/>
      <c r="GG48" s="68"/>
      <c r="GH48" s="68"/>
      <c r="GI48" s="68"/>
      <c r="GJ48" s="68"/>
      <c r="GK48" s="68"/>
      <c r="GL48" s="68"/>
      <c r="GM48" s="68"/>
      <c r="GN48" s="68"/>
      <c r="GO48" s="68"/>
      <c r="GP48" s="68"/>
      <c r="GQ48" s="68"/>
      <c r="GS48" s="68"/>
      <c r="GT48" s="68"/>
      <c r="GU48" s="68"/>
      <c r="GV48" s="68"/>
      <c r="GW48" s="68"/>
      <c r="GX48" s="68"/>
      <c r="GY48" s="68"/>
      <c r="GZ48" s="68"/>
      <c r="HA48" s="68"/>
      <c r="HB48" s="68"/>
      <c r="HC48" s="68"/>
      <c r="HD48" s="68"/>
      <c r="HE48" s="68"/>
      <c r="HF48" s="68"/>
      <c r="HG48" s="68"/>
      <c r="HH48" s="68"/>
      <c r="HI48" s="68"/>
    </row>
    <row r="49" spans="2:217" ht="18" customHeight="1">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50</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c r="EX49" s="55"/>
      <c r="FC49" s="15" t="s">
        <v>85</v>
      </c>
      <c r="FD49" s="65" t="str">
        <f>IF(FD36&gt;=N31,"PASS","FAIL")</f>
        <v>PASS</v>
      </c>
      <c r="FE49" s="65"/>
      <c r="FF49" s="65"/>
      <c r="FG49" s="65"/>
      <c r="FH49" s="55"/>
      <c r="GA49" s="68"/>
      <c r="GB49" s="68"/>
      <c r="GC49" s="68"/>
      <c r="GD49" s="68"/>
      <c r="GE49" s="68"/>
      <c r="GF49" s="68"/>
      <c r="GG49" s="68"/>
      <c r="GH49" s="68"/>
      <c r="GI49" s="68"/>
      <c r="GJ49" s="68"/>
      <c r="GK49" s="68"/>
      <c r="GL49" s="68"/>
      <c r="GM49" s="68"/>
      <c r="GN49" s="68"/>
      <c r="GO49" s="68"/>
      <c r="GP49" s="68"/>
      <c r="GQ49" s="68"/>
      <c r="GS49" s="68"/>
      <c r="GT49" s="68"/>
      <c r="GU49" s="68"/>
      <c r="GV49" s="68"/>
      <c r="GW49" s="68"/>
      <c r="GX49" s="68"/>
      <c r="GY49" s="68"/>
      <c r="GZ49" s="68"/>
      <c r="HA49" s="68"/>
      <c r="HB49" s="68"/>
      <c r="HC49" s="68"/>
      <c r="HD49" s="68"/>
      <c r="HE49" s="68"/>
      <c r="HF49" s="68"/>
      <c r="HG49" s="68"/>
      <c r="HH49" s="68"/>
      <c r="HI49" s="68"/>
    </row>
    <row r="50" spans="2:217" ht="18" customHeight="1">
      <c r="GA50" s="68"/>
      <c r="GB50" s="68"/>
      <c r="GC50" s="68"/>
      <c r="GD50" s="68"/>
      <c r="GE50" s="68"/>
      <c r="GF50" s="68"/>
      <c r="GG50" s="68"/>
      <c r="GH50" s="68"/>
      <c r="GI50" s="68"/>
      <c r="GJ50" s="68"/>
      <c r="GK50" s="68"/>
      <c r="GL50" s="68"/>
      <c r="GM50" s="68"/>
      <c r="GN50" s="68"/>
      <c r="GO50" s="68"/>
      <c r="GP50" s="68"/>
      <c r="GQ50" s="68"/>
      <c r="GS50" s="68"/>
      <c r="GT50" s="68"/>
      <c r="GU50" s="68"/>
      <c r="GV50" s="68"/>
      <c r="GW50" s="68"/>
      <c r="GX50" s="68"/>
      <c r="GY50" s="68"/>
      <c r="GZ50" s="68"/>
      <c r="HA50" s="68"/>
      <c r="HB50" s="68"/>
      <c r="HC50" s="68"/>
      <c r="HD50" s="68"/>
      <c r="HE50" s="68"/>
      <c r="HF50" s="68"/>
      <c r="HG50" s="68"/>
      <c r="HH50" s="68"/>
      <c r="HI50" s="68"/>
    </row>
    <row r="51" spans="2:217" ht="18" customHeight="1">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c r="GA51" s="68"/>
      <c r="GB51" s="68"/>
      <c r="GC51" s="68"/>
      <c r="GD51" s="68"/>
      <c r="GE51" s="68"/>
      <c r="GF51" s="68"/>
      <c r="GG51" s="68"/>
      <c r="GH51" s="68"/>
      <c r="GI51" s="68"/>
      <c r="GJ51" s="68"/>
      <c r="GK51" s="68"/>
      <c r="GL51" s="68"/>
      <c r="GM51" s="68"/>
      <c r="GN51" s="68"/>
      <c r="GO51" s="68"/>
      <c r="GP51" s="68"/>
      <c r="GQ51" s="68"/>
      <c r="GS51" s="68"/>
      <c r="GT51" s="68"/>
      <c r="GU51" s="68"/>
      <c r="GV51" s="68"/>
      <c r="GW51" s="68"/>
      <c r="GX51" s="68"/>
      <c r="GY51" s="68"/>
      <c r="GZ51" s="68"/>
      <c r="HA51" s="68"/>
      <c r="HB51" s="68"/>
      <c r="HC51" s="68"/>
      <c r="HD51" s="68"/>
      <c r="HE51" s="68"/>
      <c r="HF51" s="68"/>
      <c r="HG51" s="68"/>
      <c r="HH51" s="68"/>
      <c r="HI51" s="68"/>
    </row>
    <row r="52" spans="2:217" ht="18" customHeight="1">
      <c r="B52" s="7"/>
      <c r="AN52" s="8"/>
      <c r="AP52" s="9"/>
      <c r="AR52" s="7"/>
      <c r="CF52" s="9"/>
      <c r="EM52" s="51" t="s">
        <v>90</v>
      </c>
      <c r="EN52" s="51"/>
      <c r="EO52" s="51"/>
      <c r="EP52" s="51"/>
      <c r="EQ52" s="51"/>
      <c r="ER52" s="51"/>
      <c r="ES52" s="52"/>
      <c r="ET52" s="52"/>
      <c r="EU52" s="52"/>
      <c r="EV52" s="52"/>
      <c r="EW52" s="52"/>
      <c r="EX52" s="52"/>
      <c r="EY52" s="52"/>
      <c r="EZ52" s="52"/>
      <c r="FA52" s="52"/>
      <c r="FB52" s="52"/>
      <c r="FC52" s="52"/>
      <c r="FD52" s="52"/>
      <c r="FE52" s="52"/>
      <c r="FF52" s="52"/>
      <c r="FG52" s="52"/>
      <c r="FH52" s="52"/>
      <c r="FI52" s="52"/>
      <c r="FJ52" s="52"/>
      <c r="FK52" s="52"/>
      <c r="FL52" s="52"/>
      <c r="FM52" s="52"/>
      <c r="FN52" s="52"/>
      <c r="FO52" s="52"/>
      <c r="FP52" s="52"/>
      <c r="FQ52" s="52"/>
      <c r="FR52" s="52"/>
      <c r="FS52" s="52"/>
      <c r="FT52" s="52"/>
      <c r="FU52" s="52"/>
      <c r="FV52" s="52"/>
      <c r="FW52" s="52"/>
      <c r="FX52" s="52"/>
      <c r="GA52" s="68"/>
      <c r="GB52" s="68"/>
      <c r="GC52" s="68"/>
      <c r="GD52" s="68"/>
      <c r="GE52" s="68"/>
      <c r="GF52" s="68"/>
      <c r="GG52" s="68"/>
      <c r="GH52" s="68"/>
      <c r="GI52" s="68"/>
      <c r="GJ52" s="68"/>
      <c r="GK52" s="68"/>
      <c r="GL52" s="68"/>
      <c r="GM52" s="68"/>
      <c r="GN52" s="68"/>
      <c r="GO52" s="68"/>
      <c r="GP52" s="68"/>
      <c r="GQ52" s="68"/>
      <c r="GS52" s="68"/>
      <c r="GT52" s="68"/>
      <c r="GU52" s="68"/>
      <c r="GV52" s="68"/>
      <c r="GW52" s="68"/>
      <c r="GX52" s="68"/>
      <c r="GY52" s="68"/>
      <c r="GZ52" s="68"/>
      <c r="HA52" s="68"/>
      <c r="HB52" s="68"/>
      <c r="HC52" s="68"/>
      <c r="HD52" s="68"/>
      <c r="HE52" s="68"/>
      <c r="HF52" s="68"/>
      <c r="HG52" s="68"/>
      <c r="HH52" s="68"/>
      <c r="HI52" s="68"/>
    </row>
    <row r="53" spans="2:217" ht="18" customHeight="1">
      <c r="B53" s="7"/>
      <c r="AN53" s="10"/>
      <c r="AP53" s="9"/>
      <c r="AR53" s="7"/>
      <c r="CF53" s="9"/>
      <c r="EM53" s="56" t="s">
        <v>71</v>
      </c>
      <c r="EN53" s="56"/>
      <c r="EO53" s="56"/>
      <c r="EP53" s="3" t="s">
        <v>103</v>
      </c>
      <c r="GA53" s="68"/>
      <c r="GB53" s="68"/>
      <c r="GC53" s="68"/>
      <c r="GD53" s="68"/>
      <c r="GE53" s="68"/>
      <c r="GF53" s="68"/>
      <c r="GG53" s="68"/>
      <c r="GH53" s="68"/>
      <c r="GI53" s="68"/>
      <c r="GJ53" s="68"/>
      <c r="GK53" s="68"/>
      <c r="GL53" s="68"/>
      <c r="GM53" s="68"/>
      <c r="GN53" s="68"/>
      <c r="GO53" s="68"/>
      <c r="GP53" s="68"/>
      <c r="GQ53" s="68"/>
      <c r="GS53" s="68"/>
      <c r="GT53" s="68"/>
      <c r="GU53" s="68"/>
      <c r="GV53" s="68"/>
      <c r="GW53" s="68"/>
      <c r="GX53" s="68"/>
      <c r="GY53" s="68"/>
      <c r="GZ53" s="68"/>
      <c r="HA53" s="68"/>
      <c r="HB53" s="68"/>
      <c r="HC53" s="68"/>
      <c r="HD53" s="68"/>
      <c r="HE53" s="68"/>
      <c r="HF53" s="68"/>
      <c r="HG53" s="68"/>
      <c r="HH53" s="68"/>
      <c r="HI53" s="68"/>
    </row>
    <row r="54" spans="2:217" ht="18" customHeight="1" thickBot="1">
      <c r="B54" s="7"/>
      <c r="C54" s="11" t="s">
        <v>155</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t="s">
        <v>155</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c r="FF54" s="15"/>
      <c r="FH54" s="53" t="s">
        <v>105</v>
      </c>
      <c r="FI54" s="65">
        <f>Q41+FD38</f>
        <v>50.9</v>
      </c>
      <c r="FJ54" s="65"/>
      <c r="FK54" s="65"/>
      <c r="FL54" s="65"/>
      <c r="FM54" s="1" t="s">
        <v>100</v>
      </c>
      <c r="GA54" s="68"/>
      <c r="GB54" s="68"/>
      <c r="GC54" s="68"/>
      <c r="GD54" s="68"/>
      <c r="GE54" s="68"/>
      <c r="GF54" s="68"/>
      <c r="GG54" s="68"/>
      <c r="GH54" s="68"/>
      <c r="GI54" s="68"/>
      <c r="GJ54" s="68"/>
      <c r="GK54" s="68"/>
      <c r="GL54" s="68"/>
      <c r="GM54" s="68"/>
      <c r="GN54" s="68"/>
      <c r="GO54" s="68"/>
      <c r="GP54" s="68"/>
      <c r="GQ54" s="68"/>
      <c r="GS54" s="68"/>
      <c r="GT54" s="68"/>
      <c r="GU54" s="68"/>
      <c r="GV54" s="68"/>
      <c r="GW54" s="68"/>
      <c r="GX54" s="68"/>
      <c r="GY54" s="68"/>
      <c r="GZ54" s="68"/>
      <c r="HA54" s="68"/>
      <c r="HB54" s="68"/>
      <c r="HC54" s="68"/>
      <c r="HD54" s="68"/>
      <c r="HE54" s="68"/>
      <c r="HF54" s="68"/>
      <c r="HG54" s="68"/>
      <c r="HH54" s="68"/>
      <c r="HI54" s="68"/>
    </row>
    <row r="55" spans="2:217" ht="18" customHeight="1">
      <c r="B55" s="7"/>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9"/>
      <c r="AR55" s="7"/>
      <c r="CF55" s="9"/>
      <c r="EP55" s="3" t="s">
        <v>106</v>
      </c>
      <c r="GA55" s="68"/>
      <c r="GB55" s="68"/>
      <c r="GC55" s="68"/>
      <c r="GD55" s="68"/>
      <c r="GE55" s="68"/>
      <c r="GF55" s="68"/>
      <c r="GG55" s="68"/>
      <c r="GH55" s="68"/>
      <c r="GI55" s="68"/>
      <c r="GJ55" s="68"/>
      <c r="GK55" s="68"/>
      <c r="GL55" s="68"/>
      <c r="GM55" s="68"/>
      <c r="GN55" s="68"/>
      <c r="GO55" s="68"/>
      <c r="GP55" s="68"/>
      <c r="GQ55" s="68"/>
      <c r="GS55" s="68"/>
      <c r="GT55" s="68"/>
      <c r="GU55" s="68"/>
      <c r="GV55" s="68"/>
      <c r="GW55" s="68"/>
      <c r="GX55" s="68"/>
      <c r="GY55" s="68"/>
      <c r="GZ55" s="68"/>
      <c r="HA55" s="68"/>
      <c r="HB55" s="68"/>
      <c r="HC55" s="68"/>
      <c r="HD55" s="68"/>
      <c r="HE55" s="68"/>
      <c r="HF55" s="68"/>
      <c r="HG55" s="68"/>
      <c r="HH55" s="68"/>
      <c r="HI55" s="68"/>
    </row>
    <row r="56" spans="2:217" ht="18" customHeight="1">
      <c r="B56" s="7"/>
      <c r="C56" s="139" t="s">
        <v>144</v>
      </c>
      <c r="D56" s="139"/>
      <c r="E56" s="139"/>
      <c r="F56" s="139"/>
      <c r="G56" s="139"/>
      <c r="H56" s="139"/>
      <c r="I56" s="139"/>
      <c r="J56" s="139"/>
      <c r="K56" s="139"/>
      <c r="L56" s="139"/>
      <c r="M56" s="139"/>
      <c r="N56" s="139"/>
      <c r="O56" s="139"/>
      <c r="P56" s="139"/>
      <c r="Q56" s="139"/>
      <c r="R56" s="139"/>
      <c r="S56" s="139"/>
      <c r="T56" s="139"/>
      <c r="U56" s="139"/>
      <c r="V56" s="139"/>
      <c r="W56" s="139"/>
      <c r="X56" s="139"/>
      <c r="Y56" s="139"/>
      <c r="Z56" s="139"/>
      <c r="AA56" s="139"/>
      <c r="AB56" s="139"/>
      <c r="AC56" s="139"/>
      <c r="AD56" s="139"/>
      <c r="AE56" s="139"/>
      <c r="AF56" s="139"/>
      <c r="AG56" s="139"/>
      <c r="AH56" s="139"/>
      <c r="AI56" s="139"/>
      <c r="AJ56" s="139"/>
      <c r="AK56" s="139"/>
      <c r="AL56" s="139"/>
      <c r="AM56" s="139"/>
      <c r="AN56" s="139"/>
      <c r="AO56" s="139"/>
      <c r="AP56" s="9"/>
      <c r="AR56" s="7"/>
      <c r="AS56" s="69" t="s">
        <v>38</v>
      </c>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9"/>
      <c r="FH56" s="15" t="s">
        <v>104</v>
      </c>
      <c r="FI56" s="65">
        <f>Q43</f>
        <v>29.7</v>
      </c>
      <c r="FJ56" s="65"/>
      <c r="FK56" s="65"/>
      <c r="FL56" s="65"/>
      <c r="FM56" s="1" t="s">
        <v>100</v>
      </c>
      <c r="GA56" s="68"/>
      <c r="GB56" s="68"/>
      <c r="GC56" s="68"/>
      <c r="GD56" s="68"/>
      <c r="GE56" s="68"/>
      <c r="GF56" s="68"/>
      <c r="GG56" s="68"/>
      <c r="GH56" s="68"/>
      <c r="GI56" s="68"/>
      <c r="GJ56" s="68"/>
      <c r="GK56" s="68"/>
      <c r="GL56" s="68"/>
      <c r="GM56" s="68"/>
      <c r="GN56" s="68"/>
      <c r="GO56" s="68"/>
      <c r="GP56" s="68"/>
      <c r="GQ56" s="68"/>
      <c r="GS56" s="68"/>
      <c r="GT56" s="68"/>
      <c r="GU56" s="68"/>
      <c r="GV56" s="68"/>
      <c r="GW56" s="68"/>
      <c r="GX56" s="68"/>
      <c r="GY56" s="68"/>
      <c r="GZ56" s="68"/>
      <c r="HA56" s="68"/>
      <c r="HB56" s="68"/>
      <c r="HC56" s="68"/>
      <c r="HD56" s="68"/>
      <c r="HE56" s="68"/>
      <c r="HF56" s="68"/>
      <c r="HG56" s="68"/>
      <c r="HH56" s="68"/>
      <c r="HI56" s="68"/>
    </row>
    <row r="57" spans="2:217" ht="18" customHeight="1">
      <c r="B57" s="7"/>
      <c r="C57" s="163"/>
      <c r="D57" s="163"/>
      <c r="E57" s="163"/>
      <c r="F57" s="163"/>
      <c r="G57" s="163"/>
      <c r="H57" s="163"/>
      <c r="I57" s="163"/>
      <c r="J57" s="163"/>
      <c r="K57" s="163"/>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3"/>
      <c r="AL57" s="163"/>
      <c r="AM57" s="163"/>
      <c r="AN57" s="163"/>
      <c r="AO57" s="163"/>
      <c r="AP57" s="9"/>
      <c r="AR57" s="7"/>
      <c r="AS57" s="82" t="s">
        <v>39</v>
      </c>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9"/>
      <c r="EM57" s="56" t="s">
        <v>76</v>
      </c>
      <c r="EN57" s="56"/>
      <c r="EO57" s="56"/>
      <c r="EP57" s="3" t="s">
        <v>108</v>
      </c>
      <c r="GA57" s="68"/>
      <c r="GB57" s="68"/>
      <c r="GC57" s="68"/>
      <c r="GD57" s="68"/>
      <c r="GE57" s="68"/>
      <c r="GF57" s="68"/>
      <c r="GG57" s="68"/>
      <c r="GH57" s="68"/>
      <c r="GI57" s="68"/>
      <c r="GJ57" s="68"/>
      <c r="GK57" s="68"/>
      <c r="GL57" s="68"/>
      <c r="GM57" s="68"/>
      <c r="GN57" s="68"/>
      <c r="GO57" s="68"/>
      <c r="GP57" s="68"/>
      <c r="GQ57" s="68"/>
      <c r="GS57" s="68"/>
      <c r="GT57" s="68"/>
      <c r="GU57" s="68"/>
      <c r="GV57" s="68"/>
      <c r="GW57" s="68"/>
      <c r="GX57" s="68"/>
      <c r="GY57" s="68"/>
      <c r="GZ57" s="68"/>
      <c r="HA57" s="68"/>
      <c r="HB57" s="68"/>
      <c r="HC57" s="68"/>
      <c r="HD57" s="68"/>
      <c r="HE57" s="68"/>
      <c r="HF57" s="68"/>
      <c r="HG57" s="68"/>
      <c r="HH57" s="68"/>
      <c r="HI57" s="68"/>
    </row>
    <row r="58" spans="2:217" ht="18" customHeight="1">
      <c r="B58" s="7"/>
      <c r="C58" s="161" t="s">
        <v>145</v>
      </c>
      <c r="D58" s="161"/>
      <c r="E58" s="161"/>
      <c r="F58" s="161"/>
      <c r="G58" s="161"/>
      <c r="H58" s="161"/>
      <c r="I58" s="161"/>
      <c r="J58" s="161"/>
      <c r="K58" s="161"/>
      <c r="L58" s="161"/>
      <c r="M58" s="161" t="s">
        <v>148</v>
      </c>
      <c r="N58" s="161"/>
      <c r="O58" s="161"/>
      <c r="P58" s="161"/>
      <c r="Q58" s="161"/>
      <c r="R58" s="161"/>
      <c r="S58" s="161"/>
      <c r="T58" s="161"/>
      <c r="U58" s="161"/>
      <c r="V58" s="161" t="s">
        <v>149</v>
      </c>
      <c r="W58" s="161"/>
      <c r="X58" s="161"/>
      <c r="Y58" s="161"/>
      <c r="Z58" s="161"/>
      <c r="AA58" s="161"/>
      <c r="AB58" s="161"/>
      <c r="AC58" s="161"/>
      <c r="AD58" s="161"/>
      <c r="AE58" s="161"/>
      <c r="AF58" s="161"/>
      <c r="AG58" s="161"/>
      <c r="AH58" s="161" t="s">
        <v>137</v>
      </c>
      <c r="AI58" s="161"/>
      <c r="AJ58" s="161"/>
      <c r="AK58" s="161"/>
      <c r="AL58" s="161"/>
      <c r="AM58" s="161"/>
      <c r="AN58" s="161"/>
      <c r="AO58" s="161"/>
      <c r="AP58" s="39"/>
      <c r="AR58" s="7"/>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9"/>
      <c r="FF58" s="15"/>
      <c r="FH58" s="53" t="s">
        <v>105</v>
      </c>
      <c r="FI58" s="67">
        <f>FI54*1.15</f>
        <v>58.534999999999997</v>
      </c>
      <c r="FJ58" s="67"/>
      <c r="FK58" s="67"/>
      <c r="FL58" s="67"/>
      <c r="FM58" s="1" t="s">
        <v>100</v>
      </c>
      <c r="GA58" s="68"/>
      <c r="GB58" s="68"/>
      <c r="GC58" s="68"/>
      <c r="GD58" s="68"/>
      <c r="GE58" s="68"/>
      <c r="GF58" s="68"/>
      <c r="GG58" s="68"/>
      <c r="GH58" s="68"/>
      <c r="GI58" s="68"/>
      <c r="GJ58" s="68"/>
      <c r="GK58" s="68"/>
      <c r="GL58" s="68"/>
      <c r="GM58" s="68"/>
      <c r="GN58" s="68"/>
      <c r="GO58" s="68"/>
      <c r="GP58" s="68"/>
      <c r="GQ58" s="68"/>
      <c r="GS58" s="68"/>
      <c r="GT58" s="68"/>
      <c r="GU58" s="68"/>
      <c r="GV58" s="68"/>
      <c r="GW58" s="68"/>
      <c r="GX58" s="68"/>
      <c r="GY58" s="68"/>
      <c r="GZ58" s="68"/>
      <c r="HA58" s="68"/>
      <c r="HB58" s="68"/>
      <c r="HC58" s="68"/>
      <c r="HD58" s="68"/>
      <c r="HE58" s="68"/>
      <c r="HF58" s="68"/>
      <c r="HG58" s="68"/>
      <c r="HH58" s="68"/>
      <c r="HI58" s="68"/>
    </row>
    <row r="59" spans="2:217" ht="18" customHeight="1">
      <c r="B59" s="7"/>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39"/>
      <c r="AR59" s="7"/>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9"/>
      <c r="FH59" s="15" t="s">
        <v>115</v>
      </c>
      <c r="FI59" s="67">
        <f>FI56*1.15</f>
        <v>34.154999999999994</v>
      </c>
      <c r="FJ59" s="67"/>
      <c r="FK59" s="67"/>
      <c r="FL59" s="67"/>
      <c r="FM59" s="1" t="s">
        <v>100</v>
      </c>
      <c r="GS59" s="68"/>
      <c r="GT59" s="68"/>
      <c r="GU59" s="68"/>
      <c r="GV59" s="68"/>
      <c r="GW59" s="68"/>
      <c r="GX59" s="68"/>
      <c r="GY59" s="68"/>
      <c r="GZ59" s="68"/>
      <c r="HA59" s="68"/>
      <c r="HB59" s="68"/>
      <c r="HC59" s="68"/>
      <c r="HD59" s="68"/>
      <c r="HE59" s="68"/>
      <c r="HF59" s="68"/>
      <c r="HG59" s="68"/>
      <c r="HH59" s="68"/>
      <c r="HI59" s="68"/>
    </row>
    <row r="60" spans="2:217" ht="18" customHeight="1">
      <c r="B60" s="7"/>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39"/>
      <c r="AR60" s="7"/>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9"/>
      <c r="EM60" s="56" t="s">
        <v>107</v>
      </c>
      <c r="EN60" s="56"/>
      <c r="EO60" s="56"/>
      <c r="EP60" s="3" t="s">
        <v>109</v>
      </c>
      <c r="GS60" s="68"/>
      <c r="GT60" s="68"/>
      <c r="GU60" s="68"/>
      <c r="GV60" s="68"/>
      <c r="GW60" s="68"/>
      <c r="GX60" s="68"/>
      <c r="GY60" s="68"/>
      <c r="GZ60" s="68"/>
      <c r="HA60" s="68"/>
      <c r="HB60" s="68"/>
      <c r="HC60" s="68"/>
      <c r="HD60" s="68"/>
      <c r="HE60" s="68"/>
      <c r="HF60" s="68"/>
      <c r="HG60" s="68"/>
      <c r="HH60" s="68"/>
      <c r="HI60" s="68"/>
    </row>
    <row r="61" spans="2:217" ht="18" customHeight="1">
      <c r="B61" s="7"/>
      <c r="C61" s="161"/>
      <c r="D61" s="161"/>
      <c r="E61" s="161"/>
      <c r="F61" s="161"/>
      <c r="G61" s="161"/>
      <c r="H61" s="161"/>
      <c r="I61" s="161"/>
      <c r="J61" s="161"/>
      <c r="K61" s="161"/>
      <c r="L61" s="161"/>
      <c r="M61" s="162"/>
      <c r="N61" s="162"/>
      <c r="O61" s="162"/>
      <c r="P61" s="162"/>
      <c r="Q61" s="162"/>
      <c r="R61" s="162"/>
      <c r="S61" s="162"/>
      <c r="T61" s="162"/>
      <c r="U61" s="162"/>
      <c r="V61" s="161"/>
      <c r="W61" s="161"/>
      <c r="X61" s="161"/>
      <c r="Y61" s="161"/>
      <c r="Z61" s="161"/>
      <c r="AA61" s="161"/>
      <c r="AB61" s="161"/>
      <c r="AC61" s="161"/>
      <c r="AD61" s="161"/>
      <c r="AE61" s="161"/>
      <c r="AF61" s="161"/>
      <c r="AG61" s="161"/>
      <c r="AH61" s="161"/>
      <c r="AI61" s="161"/>
      <c r="AJ61" s="161"/>
      <c r="AK61" s="161"/>
      <c r="AL61" s="161"/>
      <c r="AM61" s="161"/>
      <c r="AN61" s="161"/>
      <c r="AO61" s="161"/>
      <c r="AP61" s="9"/>
      <c r="AR61" s="7"/>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9"/>
      <c r="EY61" s="53" t="s">
        <v>111</v>
      </c>
      <c r="EZ61" s="65">
        <f>IF(Q32="(ft)",N32*0.3048,N32)</f>
        <v>3048</v>
      </c>
      <c r="FA61" s="65"/>
      <c r="FB61" s="65"/>
      <c r="FC61" s="65"/>
      <c r="FD61" s="1" t="s">
        <v>47</v>
      </c>
      <c r="GA61" s="31"/>
      <c r="GB61" s="31"/>
      <c r="GC61" s="31"/>
      <c r="GD61" s="31"/>
      <c r="GE61" s="31"/>
      <c r="GF61" s="31"/>
      <c r="GG61" s="31"/>
      <c r="GH61" s="31"/>
      <c r="GI61" s="31"/>
      <c r="GJ61" s="31"/>
      <c r="GK61" s="31"/>
      <c r="GL61" s="31"/>
      <c r="GM61" s="31"/>
      <c r="GN61" s="31"/>
      <c r="GO61" s="31"/>
      <c r="GP61" s="31"/>
    </row>
    <row r="62" spans="2:217" ht="18" customHeight="1">
      <c r="B62" s="7"/>
      <c r="C62" s="150" t="s">
        <v>146</v>
      </c>
      <c r="D62" s="150"/>
      <c r="E62" s="150"/>
      <c r="F62" s="150"/>
      <c r="G62" s="150"/>
      <c r="H62" s="150"/>
      <c r="I62" s="150"/>
      <c r="J62" s="150"/>
      <c r="K62" s="150"/>
      <c r="L62" s="151"/>
      <c r="M62" s="155" t="s">
        <v>150</v>
      </c>
      <c r="N62" s="156"/>
      <c r="O62" s="156"/>
      <c r="P62" s="156"/>
      <c r="Q62" s="156"/>
      <c r="R62" s="156"/>
      <c r="S62" s="156"/>
      <c r="T62" s="156"/>
      <c r="U62" s="157"/>
      <c r="V62" s="164" t="str">
        <f>ROUND(W34,2)&amp;CHAR(10)&amp;"kV crest"</f>
        <v>95
kV crest</v>
      </c>
      <c r="W62" s="165"/>
      <c r="X62" s="165"/>
      <c r="Y62" s="165"/>
      <c r="Z62" s="165"/>
      <c r="AA62" s="165"/>
      <c r="AB62" s="165"/>
      <c r="AC62" s="165"/>
      <c r="AD62" s="165"/>
      <c r="AE62" s="165"/>
      <c r="AF62" s="165"/>
      <c r="AG62" s="165"/>
      <c r="AH62" s="149" t="str">
        <f>FD68</f>
        <v>PASS</v>
      </c>
      <c r="AI62" s="149"/>
      <c r="AJ62" s="149"/>
      <c r="AK62" s="149"/>
      <c r="AL62" s="149"/>
      <c r="AM62" s="149"/>
      <c r="AN62" s="149"/>
      <c r="AO62" s="149"/>
      <c r="AP62" s="9"/>
      <c r="AQ62" s="46"/>
      <c r="AR62" s="7"/>
      <c r="CF62" s="9"/>
      <c r="EY62" s="15" t="s">
        <v>110</v>
      </c>
      <c r="EZ62" s="66">
        <f>IF(EZ61&lt;=1000,1,EXP((EZ61-1000)/8150))</f>
        <v>1.2856807486511737</v>
      </c>
      <c r="FA62" s="66"/>
      <c r="FB62" s="66"/>
      <c r="FC62" s="66"/>
    </row>
    <row r="63" spans="2:217" ht="18" customHeight="1">
      <c r="B63" s="7"/>
      <c r="C63" s="150"/>
      <c r="D63" s="150"/>
      <c r="E63" s="150"/>
      <c r="F63" s="150"/>
      <c r="G63" s="150"/>
      <c r="H63" s="150"/>
      <c r="I63" s="150"/>
      <c r="J63" s="150"/>
      <c r="K63" s="150"/>
      <c r="L63" s="151"/>
      <c r="M63" s="152" t="str">
        <f>ROUND(FI64,2)&amp;CHAR(10)&amp;"kV peak"</f>
        <v>75.26
kV peak</v>
      </c>
      <c r="N63" s="153"/>
      <c r="O63" s="153"/>
      <c r="P63" s="153"/>
      <c r="Q63" s="153"/>
      <c r="R63" s="153"/>
      <c r="S63" s="153"/>
      <c r="T63" s="153"/>
      <c r="U63" s="154"/>
      <c r="V63" s="164"/>
      <c r="W63" s="165"/>
      <c r="X63" s="165"/>
      <c r="Y63" s="165"/>
      <c r="Z63" s="165"/>
      <c r="AA63" s="165"/>
      <c r="AB63" s="165"/>
      <c r="AC63" s="165"/>
      <c r="AD63" s="165"/>
      <c r="AE63" s="165"/>
      <c r="AF63" s="165"/>
      <c r="AG63" s="165"/>
      <c r="AH63" s="149"/>
      <c r="AI63" s="149"/>
      <c r="AJ63" s="149"/>
      <c r="AK63" s="149"/>
      <c r="AL63" s="149"/>
      <c r="AM63" s="149"/>
      <c r="AN63" s="149"/>
      <c r="AO63" s="149"/>
      <c r="AP63" s="9"/>
      <c r="AQ63" s="46"/>
      <c r="AR63" s="7"/>
      <c r="CF63" s="9"/>
      <c r="EP63" s="61" t="s">
        <v>112</v>
      </c>
    </row>
    <row r="64" spans="2:217" ht="18" customHeight="1">
      <c r="B64" s="7"/>
      <c r="C64" s="150"/>
      <c r="D64" s="150"/>
      <c r="E64" s="150"/>
      <c r="F64" s="150"/>
      <c r="G64" s="150"/>
      <c r="H64" s="150"/>
      <c r="I64" s="150"/>
      <c r="J64" s="150"/>
      <c r="K64" s="150"/>
      <c r="L64" s="151"/>
      <c r="M64" s="152"/>
      <c r="N64" s="153"/>
      <c r="O64" s="153"/>
      <c r="P64" s="153"/>
      <c r="Q64" s="153"/>
      <c r="R64" s="153"/>
      <c r="S64" s="153"/>
      <c r="T64" s="153"/>
      <c r="U64" s="154"/>
      <c r="V64" s="164"/>
      <c r="W64" s="165"/>
      <c r="X64" s="165"/>
      <c r="Y64" s="165"/>
      <c r="Z64" s="165"/>
      <c r="AA64" s="165"/>
      <c r="AB64" s="165"/>
      <c r="AC64" s="165"/>
      <c r="AD64" s="165"/>
      <c r="AE64" s="165"/>
      <c r="AF64" s="165"/>
      <c r="AG64" s="165"/>
      <c r="AH64" s="149"/>
      <c r="AI64" s="149"/>
      <c r="AJ64" s="149"/>
      <c r="AK64" s="149"/>
      <c r="AL64" s="149"/>
      <c r="AM64" s="149"/>
      <c r="AN64" s="149"/>
      <c r="AO64" s="149"/>
      <c r="AP64" s="9"/>
      <c r="AQ64" s="46"/>
      <c r="AR64" s="7"/>
      <c r="CF64" s="9"/>
      <c r="FH64" s="15" t="s">
        <v>113</v>
      </c>
      <c r="FI64" s="67">
        <f>FI58*EZ62</f>
        <v>75.257322622296442</v>
      </c>
      <c r="FJ64" s="67"/>
      <c r="FK64" s="67"/>
      <c r="FL64" s="67"/>
      <c r="FM64" s="1" t="s">
        <v>100</v>
      </c>
    </row>
    <row r="65" spans="2:200" ht="18" customHeight="1">
      <c r="B65" s="7"/>
      <c r="C65" s="150" t="s">
        <v>158</v>
      </c>
      <c r="D65" s="150"/>
      <c r="E65" s="150"/>
      <c r="F65" s="150"/>
      <c r="G65" s="150"/>
      <c r="H65" s="150"/>
      <c r="I65" s="150"/>
      <c r="J65" s="150"/>
      <c r="K65" s="150"/>
      <c r="L65" s="151"/>
      <c r="M65" s="158" t="s">
        <v>151</v>
      </c>
      <c r="N65" s="159"/>
      <c r="O65" s="159"/>
      <c r="P65" s="159"/>
      <c r="Q65" s="159"/>
      <c r="R65" s="159"/>
      <c r="S65" s="159"/>
      <c r="T65" s="159"/>
      <c r="U65" s="160"/>
      <c r="V65" s="164" t="str">
        <f>ROUND(W34,2)&amp;CHAR(10)&amp;"kV crest"</f>
        <v>95
kV crest</v>
      </c>
      <c r="W65" s="165"/>
      <c r="X65" s="165"/>
      <c r="Y65" s="165"/>
      <c r="Z65" s="165"/>
      <c r="AA65" s="165"/>
      <c r="AB65" s="165"/>
      <c r="AC65" s="165"/>
      <c r="AD65" s="165"/>
      <c r="AE65" s="165"/>
      <c r="AF65" s="165"/>
      <c r="AG65" s="165"/>
      <c r="AH65" s="149" t="str">
        <f>FD70</f>
        <v>PASS</v>
      </c>
      <c r="AI65" s="149"/>
      <c r="AJ65" s="149"/>
      <c r="AK65" s="149"/>
      <c r="AL65" s="149"/>
      <c r="AM65" s="149"/>
      <c r="AN65" s="149"/>
      <c r="AO65" s="149"/>
      <c r="AP65" s="9"/>
      <c r="AQ65" s="46"/>
      <c r="AR65" s="7"/>
      <c r="CF65" s="9"/>
      <c r="FH65" s="15" t="s">
        <v>114</v>
      </c>
      <c r="FI65" s="67">
        <f>EZ62*FI59</f>
        <v>43.912425970180827</v>
      </c>
      <c r="FJ65" s="67"/>
      <c r="FK65" s="67"/>
      <c r="FL65" s="67"/>
      <c r="FM65" s="1" t="s">
        <v>100</v>
      </c>
    </row>
    <row r="66" spans="2:200" ht="18" customHeight="1">
      <c r="B66" s="7"/>
      <c r="C66" s="150"/>
      <c r="D66" s="150"/>
      <c r="E66" s="150"/>
      <c r="F66" s="150"/>
      <c r="G66" s="150"/>
      <c r="H66" s="150"/>
      <c r="I66" s="150"/>
      <c r="J66" s="150"/>
      <c r="K66" s="150"/>
      <c r="L66" s="151"/>
      <c r="M66" s="166" t="str">
        <f>ROUND(FI65,2)&amp;CHAR(10)&amp;"kV peak"</f>
        <v>43.91
kV peak</v>
      </c>
      <c r="N66" s="153"/>
      <c r="O66" s="153"/>
      <c r="P66" s="153"/>
      <c r="Q66" s="153"/>
      <c r="R66" s="153"/>
      <c r="S66" s="153"/>
      <c r="T66" s="153"/>
      <c r="U66" s="167"/>
      <c r="V66" s="164"/>
      <c r="W66" s="165"/>
      <c r="X66" s="165"/>
      <c r="Y66" s="165"/>
      <c r="Z66" s="165"/>
      <c r="AA66" s="165"/>
      <c r="AB66" s="165"/>
      <c r="AC66" s="165"/>
      <c r="AD66" s="165"/>
      <c r="AE66" s="165"/>
      <c r="AF66" s="165"/>
      <c r="AG66" s="165"/>
      <c r="AH66" s="149"/>
      <c r="AI66" s="149"/>
      <c r="AJ66" s="149"/>
      <c r="AK66" s="149"/>
      <c r="AL66" s="149"/>
      <c r="AM66" s="149"/>
      <c r="AN66" s="149"/>
      <c r="AO66" s="149"/>
      <c r="AP66" s="9"/>
      <c r="AQ66" s="46"/>
      <c r="AR66" s="7"/>
      <c r="CF66" s="9"/>
      <c r="EM66" s="56" t="s">
        <v>116</v>
      </c>
      <c r="EN66" s="56"/>
      <c r="EO66" s="56"/>
      <c r="EP66" s="3" t="s">
        <v>117</v>
      </c>
    </row>
    <row r="67" spans="2:200" ht="18" customHeight="1">
      <c r="B67" s="7"/>
      <c r="C67" s="150"/>
      <c r="D67" s="150"/>
      <c r="E67" s="150"/>
      <c r="F67" s="150"/>
      <c r="G67" s="150"/>
      <c r="H67" s="150"/>
      <c r="I67" s="150"/>
      <c r="J67" s="150"/>
      <c r="K67" s="150"/>
      <c r="L67" s="151"/>
      <c r="M67" s="166"/>
      <c r="N67" s="153"/>
      <c r="O67" s="153"/>
      <c r="P67" s="153"/>
      <c r="Q67" s="153"/>
      <c r="R67" s="153"/>
      <c r="S67" s="153"/>
      <c r="T67" s="153"/>
      <c r="U67" s="167"/>
      <c r="V67" s="164"/>
      <c r="W67" s="165"/>
      <c r="X67" s="165"/>
      <c r="Y67" s="165"/>
      <c r="Z67" s="165"/>
      <c r="AA67" s="165"/>
      <c r="AB67" s="165"/>
      <c r="AC67" s="165"/>
      <c r="AD67" s="165"/>
      <c r="AE67" s="165"/>
      <c r="AF67" s="165"/>
      <c r="AG67" s="165"/>
      <c r="AH67" s="149"/>
      <c r="AI67" s="149"/>
      <c r="AJ67" s="149"/>
      <c r="AK67" s="149"/>
      <c r="AL67" s="149"/>
      <c r="AM67" s="149"/>
      <c r="AN67" s="149"/>
      <c r="AO67" s="149"/>
      <c r="AP67" s="9"/>
      <c r="AQ67" s="46"/>
      <c r="AR67" s="7"/>
      <c r="CF67" s="9"/>
      <c r="EP67" s="3" t="s">
        <v>118</v>
      </c>
    </row>
    <row r="68" spans="2:200" ht="18" customHeight="1">
      <c r="B68" s="7"/>
      <c r="C68" s="150" t="s">
        <v>147</v>
      </c>
      <c r="D68" s="150"/>
      <c r="E68" s="150"/>
      <c r="F68" s="150"/>
      <c r="G68" s="150"/>
      <c r="H68" s="150"/>
      <c r="I68" s="150"/>
      <c r="J68" s="150"/>
      <c r="K68" s="150"/>
      <c r="L68" s="151"/>
      <c r="M68" s="173" t="s">
        <v>152</v>
      </c>
      <c r="N68" s="174"/>
      <c r="O68" s="174"/>
      <c r="P68" s="174"/>
      <c r="Q68" s="174"/>
      <c r="R68" s="174"/>
      <c r="S68" s="174"/>
      <c r="T68" s="174"/>
      <c r="U68" s="175"/>
      <c r="V68" s="164" t="str">
        <f>ROUND(W35,2)&amp;CHAR(10)&amp;"kV rms"</f>
        <v>36
kV rms</v>
      </c>
      <c r="W68" s="165"/>
      <c r="X68" s="165"/>
      <c r="Y68" s="165"/>
      <c r="Z68" s="165"/>
      <c r="AA68" s="165"/>
      <c r="AB68" s="165"/>
      <c r="AC68" s="165"/>
      <c r="AD68" s="165"/>
      <c r="AE68" s="165"/>
      <c r="AF68" s="165"/>
      <c r="AG68" s="165"/>
      <c r="AH68" s="149" t="str">
        <f>FD73</f>
        <v>PASS</v>
      </c>
      <c r="AI68" s="149"/>
      <c r="AJ68" s="149"/>
      <c r="AK68" s="149"/>
      <c r="AL68" s="149"/>
      <c r="AM68" s="149"/>
      <c r="AN68" s="149"/>
      <c r="AO68" s="149"/>
      <c r="AP68" s="9"/>
      <c r="AQ68" s="46"/>
      <c r="AR68" s="7"/>
      <c r="CF68" s="9"/>
      <c r="EX68" s="55"/>
      <c r="FC68" s="15" t="s">
        <v>85</v>
      </c>
      <c r="FD68" s="65" t="str">
        <f>IF(W34&gt;=FI64,"PASS","FAIL")</f>
        <v>PASS</v>
      </c>
      <c r="FE68" s="65"/>
      <c r="FF68" s="65"/>
      <c r="FG68" s="65"/>
      <c r="FH68" s="55"/>
    </row>
    <row r="69" spans="2:200" ht="18" customHeight="1">
      <c r="B69" s="7"/>
      <c r="C69" s="150"/>
      <c r="D69" s="150"/>
      <c r="E69" s="150"/>
      <c r="F69" s="150"/>
      <c r="G69" s="150"/>
      <c r="H69" s="150"/>
      <c r="I69" s="150"/>
      <c r="J69" s="150"/>
      <c r="K69" s="150"/>
      <c r="L69" s="151"/>
      <c r="M69" s="168" t="str">
        <f>ROUND(EZ72,2)&amp;CHAR(10)&amp;"kV rms"</f>
        <v>19.52
kV rms</v>
      </c>
      <c r="N69" s="153"/>
      <c r="O69" s="153"/>
      <c r="P69" s="153"/>
      <c r="Q69" s="153"/>
      <c r="R69" s="153"/>
      <c r="S69" s="153"/>
      <c r="T69" s="153"/>
      <c r="U69" s="169"/>
      <c r="V69" s="164"/>
      <c r="W69" s="165"/>
      <c r="X69" s="165"/>
      <c r="Y69" s="165"/>
      <c r="Z69" s="165"/>
      <c r="AA69" s="165"/>
      <c r="AB69" s="165"/>
      <c r="AC69" s="165"/>
      <c r="AD69" s="165"/>
      <c r="AE69" s="165"/>
      <c r="AF69" s="165"/>
      <c r="AG69" s="165"/>
      <c r="AH69" s="149"/>
      <c r="AI69" s="149"/>
      <c r="AJ69" s="149"/>
      <c r="AK69" s="149"/>
      <c r="AL69" s="149"/>
      <c r="AM69" s="149"/>
      <c r="AN69" s="149"/>
      <c r="AO69" s="149"/>
      <c r="AP69" s="9"/>
      <c r="AQ69" s="46"/>
      <c r="AR69" s="7"/>
      <c r="CF69" s="9"/>
      <c r="EP69" s="3" t="s">
        <v>119</v>
      </c>
    </row>
    <row r="70" spans="2:200" ht="18" customHeight="1">
      <c r="B70" s="7"/>
      <c r="C70" s="150"/>
      <c r="D70" s="150"/>
      <c r="E70" s="150"/>
      <c r="F70" s="150"/>
      <c r="G70" s="150"/>
      <c r="H70" s="150"/>
      <c r="I70" s="150"/>
      <c r="J70" s="150"/>
      <c r="K70" s="150"/>
      <c r="L70" s="151"/>
      <c r="M70" s="170"/>
      <c r="N70" s="171"/>
      <c r="O70" s="171"/>
      <c r="P70" s="171"/>
      <c r="Q70" s="171"/>
      <c r="R70" s="171"/>
      <c r="S70" s="171"/>
      <c r="T70" s="171"/>
      <c r="U70" s="172"/>
      <c r="V70" s="164"/>
      <c r="W70" s="165"/>
      <c r="X70" s="165"/>
      <c r="Y70" s="165"/>
      <c r="Z70" s="165"/>
      <c r="AA70" s="165"/>
      <c r="AB70" s="165"/>
      <c r="AC70" s="165"/>
      <c r="AD70" s="165"/>
      <c r="AE70" s="165"/>
      <c r="AF70" s="165"/>
      <c r="AG70" s="165"/>
      <c r="AH70" s="149"/>
      <c r="AI70" s="149"/>
      <c r="AJ70" s="149"/>
      <c r="AK70" s="149"/>
      <c r="AL70" s="149"/>
      <c r="AM70" s="149"/>
      <c r="AN70" s="149"/>
      <c r="AO70" s="149"/>
      <c r="AP70" s="9"/>
      <c r="AQ70" s="46"/>
      <c r="AR70" s="7"/>
      <c r="CF70" s="9"/>
      <c r="EX70" s="55"/>
      <c r="FC70" s="15" t="s">
        <v>85</v>
      </c>
      <c r="FD70" s="65" t="str">
        <f>IF(W34&gt;=FI65,"PASS","FAIL")</f>
        <v>PASS</v>
      </c>
      <c r="FE70" s="65"/>
      <c r="FF70" s="65"/>
      <c r="FG70" s="65"/>
      <c r="FH70" s="55"/>
    </row>
    <row r="71" spans="2:200" ht="18" customHeight="1">
      <c r="B71" s="7"/>
      <c r="C71" s="135" t="s">
        <v>153</v>
      </c>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9"/>
      <c r="AQ71" s="46"/>
      <c r="AR71" s="7"/>
      <c r="CF71" s="9"/>
      <c r="EP71" s="3" t="s">
        <v>120</v>
      </c>
    </row>
    <row r="72" spans="2:200" ht="18" customHeight="1">
      <c r="B72" s="7"/>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9"/>
      <c r="AQ72" s="46"/>
      <c r="AR72" s="7"/>
      <c r="CF72" s="9"/>
      <c r="EY72" s="15" t="s">
        <v>121</v>
      </c>
      <c r="EZ72" s="64">
        <f>N31*EZ62</f>
        <v>19.516633764524819</v>
      </c>
      <c r="FA72" s="64"/>
      <c r="FB72" s="64"/>
      <c r="FC72" s="64"/>
      <c r="FD72" s="1" t="s">
        <v>21</v>
      </c>
    </row>
    <row r="73" spans="2:200" ht="18" customHeight="1">
      <c r="B73" s="7"/>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9"/>
      <c r="AQ73" s="46"/>
      <c r="AR73" s="7"/>
      <c r="CF73" s="9"/>
      <c r="EX73" s="55"/>
      <c r="FC73" s="15" t="s">
        <v>85</v>
      </c>
      <c r="FD73" s="65" t="str">
        <f>IF(W35&gt;=EZ72,"PASS","FAIL")</f>
        <v>PASS</v>
      </c>
      <c r="FE73" s="65"/>
      <c r="FF73" s="65"/>
      <c r="FG73" s="65"/>
      <c r="FH73" s="55"/>
    </row>
    <row r="74" spans="2:200" ht="18" customHeight="1">
      <c r="B74" s="7"/>
      <c r="AP74" s="9"/>
      <c r="AQ74" s="46"/>
      <c r="AR74" s="7"/>
      <c r="CF74" s="9"/>
    </row>
    <row r="75" spans="2:200" ht="18" customHeight="1">
      <c r="B75" s="7"/>
      <c r="C75" s="69" t="s">
        <v>143</v>
      </c>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9"/>
      <c r="AQ75" s="46"/>
      <c r="AR75" s="7"/>
      <c r="CF75" s="9"/>
    </row>
    <row r="76" spans="2:200" ht="18" customHeight="1">
      <c r="B76" s="7"/>
      <c r="AP76" s="9"/>
      <c r="AQ76" s="46"/>
      <c r="AR76" s="7"/>
      <c r="CF76" s="9"/>
    </row>
    <row r="77" spans="2:200" ht="18" customHeight="1">
      <c r="B77" s="7"/>
      <c r="AP77" s="9"/>
      <c r="AQ77" s="46"/>
      <c r="AR77" s="7"/>
      <c r="CF77" s="9"/>
      <c r="GR77" s="1" t="s">
        <v>8</v>
      </c>
    </row>
    <row r="78" spans="2:200" ht="18" customHeight="1">
      <c r="B78" s="7"/>
      <c r="AP78" s="9"/>
      <c r="AQ78" s="46"/>
      <c r="AR78" s="7"/>
      <c r="CF78" s="9"/>
      <c r="GA78" s="31"/>
      <c r="GB78" s="31"/>
      <c r="GC78" s="31"/>
      <c r="GD78" s="31"/>
      <c r="GE78" s="31"/>
      <c r="GF78" s="31"/>
      <c r="GG78" s="31"/>
      <c r="GH78" s="31"/>
      <c r="GI78" s="31"/>
      <c r="GJ78" s="31"/>
      <c r="GK78" s="31"/>
      <c r="GL78" s="31"/>
      <c r="GM78" s="31"/>
      <c r="GN78" s="31"/>
      <c r="GO78" s="31"/>
      <c r="GP78" s="31"/>
      <c r="GQ78" s="31"/>
    </row>
    <row r="79" spans="2:200" ht="18" customHeight="1">
      <c r="B79" s="7"/>
      <c r="AP79" s="9"/>
      <c r="AQ79" s="46"/>
      <c r="AR79" s="7"/>
      <c r="CF79" s="9"/>
      <c r="GA79" s="31"/>
      <c r="GB79" s="31"/>
      <c r="GC79" s="31"/>
      <c r="GD79" s="31"/>
      <c r="GE79" s="31"/>
      <c r="GF79" s="31"/>
      <c r="GG79" s="31"/>
      <c r="GH79" s="31"/>
      <c r="GI79" s="31"/>
      <c r="GJ79" s="31"/>
      <c r="GK79" s="31"/>
      <c r="GL79" s="31"/>
      <c r="GM79" s="31"/>
      <c r="GN79" s="31"/>
      <c r="GO79" s="31"/>
      <c r="GP79" s="31"/>
      <c r="GQ79" s="31"/>
    </row>
    <row r="80" spans="2:200" ht="18" customHeight="1">
      <c r="B80" s="7"/>
      <c r="AP80" s="9"/>
      <c r="AQ80" s="46"/>
      <c r="AR80" s="7"/>
      <c r="CF80" s="9"/>
      <c r="GA80" s="31"/>
      <c r="GB80" s="31"/>
      <c r="GC80" s="31"/>
      <c r="GD80" s="31"/>
      <c r="GE80" s="31"/>
      <c r="GF80" s="31"/>
      <c r="GG80" s="31"/>
      <c r="GH80" s="31"/>
      <c r="GI80" s="31"/>
      <c r="GJ80" s="31"/>
      <c r="GK80" s="31"/>
      <c r="GL80" s="31"/>
      <c r="GM80" s="31"/>
      <c r="GN80" s="31"/>
      <c r="GO80" s="31"/>
      <c r="GP80" s="31"/>
      <c r="GQ80" s="31"/>
    </row>
    <row r="81" spans="2:199" ht="18" customHeight="1">
      <c r="B81" s="7"/>
      <c r="AP81" s="9"/>
      <c r="AQ81" s="46"/>
      <c r="AR81" s="7"/>
      <c r="CF81" s="9"/>
      <c r="GA81" s="31"/>
      <c r="GB81" s="31"/>
      <c r="GC81" s="31"/>
      <c r="GD81" s="31"/>
      <c r="GE81" s="31"/>
      <c r="GF81" s="31"/>
      <c r="GG81" s="31"/>
      <c r="GH81" s="31"/>
      <c r="GI81" s="31"/>
      <c r="GJ81" s="31"/>
      <c r="GK81" s="31"/>
      <c r="GL81" s="31"/>
      <c r="GM81" s="31"/>
      <c r="GN81" s="31"/>
      <c r="GO81" s="31"/>
      <c r="GP81" s="31"/>
      <c r="GQ81" s="31"/>
    </row>
    <row r="82" spans="2:199" ht="18" customHeight="1">
      <c r="B82" s="7"/>
      <c r="AP82" s="9"/>
      <c r="AQ82" s="46"/>
      <c r="AR82" s="7"/>
      <c r="CF82" s="9"/>
      <c r="GA82" s="31"/>
      <c r="GB82" s="31"/>
      <c r="GC82" s="31"/>
      <c r="GD82" s="31"/>
      <c r="GE82" s="31"/>
      <c r="GF82" s="31"/>
      <c r="GG82" s="31"/>
      <c r="GH82" s="31"/>
      <c r="GI82" s="31"/>
      <c r="GJ82" s="31"/>
      <c r="GK82" s="31"/>
      <c r="GL82" s="31"/>
      <c r="GM82" s="31"/>
      <c r="GN82" s="31"/>
      <c r="GO82" s="31"/>
      <c r="GP82" s="31"/>
      <c r="GQ82" s="31"/>
    </row>
    <row r="83" spans="2:199" ht="18" customHeight="1">
      <c r="B83" s="7"/>
      <c r="AP83" s="9"/>
      <c r="AQ83" s="46"/>
      <c r="AR83" s="7"/>
      <c r="CF83" s="9"/>
      <c r="GA83" s="31"/>
      <c r="GB83" s="31"/>
      <c r="GC83" s="31"/>
      <c r="GD83" s="31"/>
      <c r="GE83" s="31"/>
      <c r="GF83" s="31"/>
      <c r="GG83" s="31"/>
      <c r="GH83" s="31"/>
      <c r="GI83" s="31"/>
      <c r="GJ83" s="31"/>
      <c r="GK83" s="31"/>
      <c r="GL83" s="31"/>
      <c r="GM83" s="31"/>
      <c r="GN83" s="31"/>
      <c r="GO83" s="31"/>
      <c r="GP83" s="31"/>
      <c r="GQ83" s="31"/>
    </row>
    <row r="84" spans="2:199" ht="18" customHeight="1">
      <c r="B84" s="7"/>
      <c r="AP84" s="9"/>
      <c r="AQ84" s="46"/>
      <c r="AR84" s="7"/>
      <c r="CF84" s="9"/>
      <c r="GA84" s="31"/>
      <c r="GB84" s="31"/>
      <c r="GC84" s="31"/>
      <c r="GD84" s="31"/>
      <c r="GE84" s="31"/>
      <c r="GF84" s="31"/>
      <c r="GG84" s="31"/>
      <c r="GH84" s="31"/>
      <c r="GI84" s="31"/>
      <c r="GJ84" s="31"/>
      <c r="GK84" s="31"/>
      <c r="GL84" s="31"/>
      <c r="GM84" s="31"/>
      <c r="GN84" s="31"/>
      <c r="GO84" s="31"/>
      <c r="GP84" s="31"/>
      <c r="GQ84" s="31"/>
    </row>
    <row r="85" spans="2:199" ht="18" customHeight="1">
      <c r="B85" s="7"/>
      <c r="AP85" s="9"/>
      <c r="AQ85" s="46"/>
      <c r="AR85" s="7"/>
      <c r="CF85" s="9"/>
      <c r="GA85" s="31"/>
      <c r="GB85" s="31"/>
      <c r="GC85" s="31"/>
      <c r="GD85" s="31"/>
      <c r="GE85" s="31"/>
      <c r="GF85" s="31"/>
      <c r="GG85" s="31"/>
      <c r="GH85" s="31"/>
      <c r="GI85" s="31"/>
      <c r="GJ85" s="31"/>
      <c r="GK85" s="31"/>
      <c r="GL85" s="31"/>
      <c r="GM85" s="31"/>
      <c r="GN85" s="31"/>
      <c r="GO85" s="31"/>
      <c r="GP85" s="31"/>
      <c r="GQ85" s="31"/>
    </row>
    <row r="86" spans="2:199" ht="18" customHeight="1">
      <c r="B86" s="7"/>
      <c r="AP86" s="9"/>
      <c r="AQ86" s="46"/>
      <c r="AR86" s="7"/>
      <c r="CF86" s="9"/>
      <c r="GA86" s="31"/>
      <c r="GB86" s="31"/>
      <c r="GC86" s="31"/>
      <c r="GD86" s="31"/>
      <c r="GE86" s="31"/>
      <c r="GF86" s="31"/>
      <c r="GG86" s="31"/>
      <c r="GH86" s="31"/>
      <c r="GI86" s="31"/>
      <c r="GJ86" s="31"/>
      <c r="GK86" s="31"/>
      <c r="GL86" s="31"/>
      <c r="GM86" s="31"/>
      <c r="GN86" s="31"/>
      <c r="GO86" s="31"/>
      <c r="GP86" s="31"/>
      <c r="GQ86" s="31"/>
    </row>
    <row r="87" spans="2:199" ht="18" customHeight="1">
      <c r="B87" s="7"/>
      <c r="AP87" s="9"/>
      <c r="AQ87" s="46"/>
      <c r="AR87" s="7"/>
      <c r="CF87" s="9"/>
      <c r="GA87" s="31"/>
      <c r="GB87" s="31"/>
      <c r="GC87" s="31"/>
      <c r="GD87" s="31"/>
      <c r="GE87" s="31"/>
      <c r="GF87" s="31"/>
      <c r="GG87" s="31"/>
      <c r="GH87" s="31"/>
      <c r="GI87" s="31"/>
      <c r="GJ87" s="31"/>
      <c r="GK87" s="31"/>
      <c r="GL87" s="31"/>
      <c r="GM87" s="31"/>
      <c r="GN87" s="31"/>
      <c r="GO87" s="31"/>
      <c r="GP87" s="31"/>
      <c r="GQ87" s="31"/>
    </row>
    <row r="88" spans="2:199" ht="18" customHeight="1">
      <c r="B88" s="7"/>
      <c r="AP88" s="9"/>
      <c r="AQ88" s="46"/>
      <c r="AR88" s="7"/>
      <c r="CF88" s="9"/>
      <c r="GA88" s="31"/>
      <c r="GB88" s="31"/>
      <c r="GC88" s="31"/>
      <c r="GD88" s="31"/>
      <c r="GE88" s="31"/>
      <c r="GF88" s="31"/>
      <c r="GG88" s="31"/>
      <c r="GH88" s="31"/>
      <c r="GI88" s="31"/>
      <c r="GJ88" s="31"/>
      <c r="GK88" s="31"/>
      <c r="GL88" s="31"/>
      <c r="GM88" s="31"/>
      <c r="GN88" s="31"/>
      <c r="GO88" s="31"/>
      <c r="GP88" s="31"/>
      <c r="GQ88" s="31"/>
    </row>
    <row r="89" spans="2:199" ht="18" customHeight="1">
      <c r="B89" s="7"/>
      <c r="AP89" s="9"/>
      <c r="AQ89" s="46"/>
      <c r="AR89" s="7"/>
      <c r="CF89" s="9"/>
    </row>
    <row r="90" spans="2:199" ht="18" customHeight="1">
      <c r="B90" s="7"/>
      <c r="AP90" s="9"/>
      <c r="AQ90" s="46"/>
      <c r="AR90" s="7"/>
      <c r="CF90" s="9"/>
    </row>
    <row r="91" spans="2:199" ht="18" customHeight="1">
      <c r="B91" s="7"/>
      <c r="AP91" s="9"/>
      <c r="AQ91" s="46"/>
      <c r="AR91" s="7"/>
      <c r="CF91" s="9"/>
    </row>
    <row r="92" spans="2:199" ht="18" customHeight="1">
      <c r="B92" s="7"/>
      <c r="AP92" s="9"/>
      <c r="AQ92" s="46"/>
      <c r="AR92" s="7"/>
      <c r="CF92" s="9"/>
    </row>
    <row r="93" spans="2:199" ht="18" customHeight="1">
      <c r="B93" s="7"/>
      <c r="AP93" s="9"/>
      <c r="AQ93" s="46"/>
      <c r="AR93" s="7"/>
      <c r="CF93" s="9"/>
    </row>
    <row r="94" spans="2:199" ht="18" customHeight="1">
      <c r="B94" s="7"/>
      <c r="AP94" s="9"/>
      <c r="AQ94" s="46"/>
      <c r="AR94" s="7"/>
      <c r="CF94" s="9"/>
    </row>
    <row r="95" spans="2:199" ht="18" customHeight="1">
      <c r="B95" s="7"/>
      <c r="AP95" s="9"/>
      <c r="AQ95" s="46"/>
      <c r="AR95" s="7"/>
      <c r="CF95" s="9"/>
    </row>
    <row r="96" spans="2:199" ht="18" customHeight="1" thickBot="1">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2"/>
      <c r="AO96" s="11"/>
      <c r="AP96" s="9"/>
      <c r="AQ96" s="46"/>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row>
    <row r="97" spans="2:84" ht="18" customHeight="1">
      <c r="B97" s="7"/>
      <c r="D97" s="26" t="s">
        <v>4</v>
      </c>
      <c r="AO97" s="15" t="s">
        <v>6</v>
      </c>
      <c r="AP97" s="9"/>
      <c r="AR97" s="7"/>
      <c r="AT97" s="26" t="s">
        <v>4</v>
      </c>
      <c r="CE97" s="15" t="s">
        <v>7</v>
      </c>
      <c r="CF97" s="9"/>
    </row>
    <row r="98" spans="2:84" ht="18" customHeight="1">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AR98" s="27"/>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9"/>
    </row>
    <row r="99" spans="2:84" ht="18" customHeight="1">
      <c r="B99" s="5"/>
    </row>
    <row r="100" spans="2:84" ht="18" customHeight="1"/>
    <row r="101" spans="2:84" ht="18" customHeight="1"/>
    <row r="102" spans="2:84" ht="18" customHeight="1"/>
    <row r="103" spans="2:84" ht="18" customHeight="1"/>
    <row r="146" ht="18" customHeight="1"/>
    <row r="147" ht="18" customHeight="1"/>
    <row r="148" ht="18" customHeight="1"/>
    <row r="149" ht="18" customHeight="1"/>
    <row r="150" ht="18" customHeight="1"/>
    <row r="151" ht="18" customHeight="1"/>
    <row r="152" ht="18" customHeight="1"/>
    <row r="195" spans="4:83" ht="18" customHeight="1">
      <c r="D195" s="26"/>
      <c r="CE195" s="15"/>
    </row>
  </sheetData>
  <sheetProtection sheet="1" objects="1" scenarios="1" selectLockedCells="1"/>
  <mergeCells count="124">
    <mergeCell ref="BE32:BK35"/>
    <mergeCell ref="BL36:BR38"/>
    <mergeCell ref="BL39:BR41"/>
    <mergeCell ref="BL32:BR35"/>
    <mergeCell ref="BS32:BX35"/>
    <mergeCell ref="C71:AO73"/>
    <mergeCell ref="AH65:AO67"/>
    <mergeCell ref="C62:L64"/>
    <mergeCell ref="C65:L67"/>
    <mergeCell ref="M63:U64"/>
    <mergeCell ref="M62:U62"/>
    <mergeCell ref="M65:U65"/>
    <mergeCell ref="C56:AO56"/>
    <mergeCell ref="M58:U61"/>
    <mergeCell ref="C58:L61"/>
    <mergeCell ref="C57:AO57"/>
    <mergeCell ref="V58:AG61"/>
    <mergeCell ref="V62:AG64"/>
    <mergeCell ref="V65:AG67"/>
    <mergeCell ref="V68:AG70"/>
    <mergeCell ref="AH58:AO61"/>
    <mergeCell ref="AH62:AO64"/>
    <mergeCell ref="AH68:AO70"/>
    <mergeCell ref="C68:L70"/>
    <mergeCell ref="M66:U67"/>
    <mergeCell ref="M69:U70"/>
    <mergeCell ref="M68:U68"/>
    <mergeCell ref="BE36:BK38"/>
    <mergeCell ref="CL2:CO2"/>
    <mergeCell ref="CS2:DT8"/>
    <mergeCell ref="CM9:CP9"/>
    <mergeCell ref="CS9:DT11"/>
    <mergeCell ref="CL3:CO3"/>
    <mergeCell ref="CM10:CP10"/>
    <mergeCell ref="CM11:CP11"/>
    <mergeCell ref="AS45:CE46"/>
    <mergeCell ref="Q43:S43"/>
    <mergeCell ref="AS31:CE31"/>
    <mergeCell ref="AS7:CE7"/>
    <mergeCell ref="AS39:AX41"/>
    <mergeCell ref="W35:Y35"/>
    <mergeCell ref="Q32:R32"/>
    <mergeCell ref="Q40:S40"/>
    <mergeCell ref="Q41:S41"/>
    <mergeCell ref="Q42:S42"/>
    <mergeCell ref="C28:AO28"/>
    <mergeCell ref="N30:P30"/>
    <mergeCell ref="N31:P31"/>
    <mergeCell ref="N32:P32"/>
    <mergeCell ref="W34:Y34"/>
    <mergeCell ref="W46:Y46"/>
    <mergeCell ref="Z46:AA46"/>
    <mergeCell ref="GA3:GA5"/>
    <mergeCell ref="FD32:FG32"/>
    <mergeCell ref="FD34:FG34"/>
    <mergeCell ref="FD35:FG35"/>
    <mergeCell ref="FD36:FG36"/>
    <mergeCell ref="W37:Y37"/>
    <mergeCell ref="AJ41:AL41"/>
    <mergeCell ref="FD38:FG38"/>
    <mergeCell ref="FD39:FG39"/>
    <mergeCell ref="FD40:FG40"/>
    <mergeCell ref="CM21:CP21"/>
    <mergeCell ref="H12:W12"/>
    <mergeCell ref="AE12:AN12"/>
    <mergeCell ref="CM15:CP15"/>
    <mergeCell ref="CM18:CP18"/>
    <mergeCell ref="AS8:CE30"/>
    <mergeCell ref="C7:AO9"/>
    <mergeCell ref="M36:Y36"/>
    <mergeCell ref="AS32:AX35"/>
    <mergeCell ref="AS36:AX38"/>
    <mergeCell ref="AY36:BD38"/>
    <mergeCell ref="BS36:BX38"/>
    <mergeCell ref="BY32:CE35"/>
    <mergeCell ref="AY32:BD35"/>
    <mergeCell ref="EL7:FC7"/>
    <mergeCell ref="FE7:FV7"/>
    <mergeCell ref="AB43:AO45"/>
    <mergeCell ref="G39:S39"/>
    <mergeCell ref="FB16:FD16"/>
    <mergeCell ref="FB17:FD17"/>
    <mergeCell ref="AB30:AO32"/>
    <mergeCell ref="EA9:EE9"/>
    <mergeCell ref="EA10:EE10"/>
    <mergeCell ref="CS12:DT12"/>
    <mergeCell ref="H11:W11"/>
    <mergeCell ref="AE11:AN11"/>
    <mergeCell ref="CM13:CP13"/>
    <mergeCell ref="CS13:DT13"/>
    <mergeCell ref="CM12:CP12"/>
    <mergeCell ref="AY39:BD41"/>
    <mergeCell ref="AY42:BD44"/>
    <mergeCell ref="BE42:BK44"/>
    <mergeCell ref="BS39:BX41"/>
    <mergeCell ref="BS42:BX44"/>
    <mergeCell ref="BY36:CE38"/>
    <mergeCell ref="BY39:CE41"/>
    <mergeCell ref="BY42:CE44"/>
    <mergeCell ref="BE39:BK41"/>
    <mergeCell ref="EZ72:FC72"/>
    <mergeCell ref="FD73:FG73"/>
    <mergeCell ref="EZ61:FC61"/>
    <mergeCell ref="EZ62:FC62"/>
    <mergeCell ref="FI64:FL64"/>
    <mergeCell ref="FI65:FL65"/>
    <mergeCell ref="GS43:HI60"/>
    <mergeCell ref="GA43:GQ58"/>
    <mergeCell ref="C75:AO75"/>
    <mergeCell ref="FD68:FG68"/>
    <mergeCell ref="FD70:FG70"/>
    <mergeCell ref="FI54:FL54"/>
    <mergeCell ref="FI56:FL56"/>
    <mergeCell ref="FI58:FL58"/>
    <mergeCell ref="FI59:FL59"/>
    <mergeCell ref="FD49:FG49"/>
    <mergeCell ref="FD46:FG46"/>
    <mergeCell ref="AS42:AX44"/>
    <mergeCell ref="BL42:BR44"/>
    <mergeCell ref="FD43:FG43"/>
    <mergeCell ref="FD42:FG42"/>
    <mergeCell ref="FD45:FG45"/>
    <mergeCell ref="AS56:CE56"/>
    <mergeCell ref="AS57:CE61"/>
  </mergeCells>
  <dataValidations xWindow="792" yWindow="391" count="17">
    <dataValidation type="custom" allowBlank="1" showInputMessage="1" showErrorMessage="1" promptTitle="Guidance:" prompt="Leave blank for oil type breaker if values are not named plated on the breaker." sqref="AL46:AO46" xr:uid="{291A6B44-E4BA-4203-B72D-9459F65D7D0A}">
      <formula1>OR(AL46="",AND(ISNUMBER(AL46),AL46&gt;0))</formula1>
    </dataValidation>
    <dataValidation type="list" allowBlank="1" showInputMessage="1" showErrorMessage="1" sqref="P46:S46" xr:uid="{A8F3BC89-BE62-4994-87A4-526F19436A0E}">
      <formula1>"Oil, Vacuum, SF6"</formula1>
    </dataValidation>
    <dataValidation allowBlank="1" showInputMessage="1" showErrorMessage="1" promptTitle="Guideance:" prompt="Iterate this value until the &quot;victim&quot; breaker meets the outrush &quot;pass&quot; criteria. Increase only as needed, since higher indutance increases size and cost." sqref="K42:O42 ET10:EX10" xr:uid="{03011B94-0D48-4071-8523-386F7FA52B47}"/>
    <dataValidation allowBlank="1" showInputMessage="1" showErrorMessage="1" promptTitle="Guidance:" prompt="Use 0.3 µH/ft (approx 1 µH/m) if unknown_x000a_" sqref="M41:O41 K41 EV9:EY9 ET9" xr:uid="{001F8AD2-BF27-4A7E-8B00-F98F216FF471}"/>
    <dataValidation allowBlank="1" showInputMessage="1" showErrorMessage="1" promptTitle="Design / Engineering Margin" prompt="_x000a_The calculated transient values must not exceed (100% - Margin) of the published switching device limit(s)." sqref="K40 ET8" xr:uid="{0B3B6976-420E-4FCE-AC13-495876BD2D0B}"/>
    <dataValidation type="custom" allowBlank="1" showInputMessage="1" showErrorMessage="1" error="Enter the previous stage kvar and inrush reactor values before entering data for this stage." sqref="AB38:AC38 AD36" xr:uid="{305F2948-C858-4F3E-9580-5CADE34F6FC0}">
      <formula1>AND(ISNUMBER(#REF!), #REF!&gt;0)</formula1>
    </dataValidation>
    <dataValidation type="list" allowBlank="1" showInputMessage="1" showErrorMessage="1" sqref="Q32:R32 Z46:AA46" xr:uid="{8B1626A9-FB3A-4A5D-B2C5-7FF1EF4B4776}">
      <formula1>"(m),(ft)"</formula1>
    </dataValidation>
    <dataValidation allowBlank="1" showInputMessage="1" showErrorMessage="1" promptTitle="Clerification:" prompt="The sea-level 1-minute low frequency rating" sqref="W35:Y35" xr:uid="{556CDD22-6980-42BD-8DE4-76195859B5FA}"/>
    <dataValidation allowBlank="1" showInputMessage="1" showErrorMessage="1" promptTitle="Clerification" prompt="The sea-level rating (e.g.,95kv, 125kv, 150kV) of the metal-enclosed capacitor bank or harmonic filter bank or connected equipment" sqref="W34:Y34" xr:uid="{755B1DD9-90A7-4F35-9041-22767DD98C81}"/>
    <dataValidation allowBlank="1" showInputMessage="1" showErrorMessage="1" promptTitle="Clerification:" prompt="To verify the arrester is rated properly for the system voltage (Um)" sqref="Q40:S40" xr:uid="{433B5A9D-D957-41F5-9281-C32755DB0F2B}"/>
    <dataValidation allowBlank="1" showInputMessage="1" showErrorMessage="1" promptTitle="Clerification" prompt="The maximum discharge voltage at the coordinating current (typically an 8/20 μs wave at 10 kA or 20 kA). Used for the IEEE PRL2 margin and IEC coordination" sqref="Q41:S41" xr:uid="{3B020AB4-0DB5-4978-BC82-240203F7ECCF}"/>
    <dataValidation allowBlank="1" showInputMessage="1" showErrorMessage="1" promptTitle="Clerification" prompt="The sparkover/discharge voltage cresting in 0.5 μs. Used specifically for the IEEE PRL1 protective margin check" sqref="Q42:S42" xr:uid="{3CF1FB80-FA2B-452A-9EA4-9A24E860AFEF}"/>
    <dataValidation allowBlank="1" showInputMessage="1" showErrorMessage="1" promptTitle="Clerification" prompt="The maximum discharge voltage for a slow-front wave (45 μs to 60 μs). Required for both IEEE (PRs ) and IEC slow-front overvoltage coordination" sqref="Q43:S43" xr:uid="{B6754EFB-6550-4B5E-BA6A-BCB7219C3A0F}"/>
    <dataValidation allowBlank="1" showInputMessage="1" showErrorMessage="1" promptTitle="Clerification" prompt="IEEE C62.22 and IEC 60071-2 require the inductive voltage drop (L⋅di/dt) across the arrester connecting leads be accounted for. When installed directly in the VarStec equipment, this is nearly 0." sqref="W46:Y46" xr:uid="{68038798-6153-4CBA-8604-C2C08979DDF7}"/>
    <dataValidation type="list" allowBlank="1" showInputMessage="1" showErrorMessage="1" promptTitle="Clerification:" prompt="System grounding is the single most important factor when evaluating whether the surge arrester's Maximum Continuous Operating Voltage (MCOV) and Temporary Overvoltage (TOV) capabilities are properly sized for the application._x000a_" sqref="M36:Y36" xr:uid="{B42B167F-454F-40FD-AE3A-0F7EAED65C77}">
      <formula1>$EM$3:$EM$5</formula1>
    </dataValidation>
    <dataValidation type="list" allowBlank="1" showInputMessage="1" showErrorMessage="1" promptTitle="Select di/dt (ka/us)" prompt="• 10 kA/µs: Standard (shielded stations/lines)_x000a_• 20 kA/µs: Unshielded lines or high lightning exposure_x000a_• 5 kA/µs: Highly shielded / very low exposure" sqref="AJ41:AL41" xr:uid="{79863600-62E8-44A9-8753-D7D9104C5D7A}">
      <formula1>"10,20,5"</formula1>
    </dataValidation>
    <dataValidation type="list" allowBlank="1" showInputMessage="1" showErrorMessage="1" sqref="G39:S39" xr:uid="{1BE44906-86CE-476C-94A4-1D586401DFB8}">
      <formula1>$EM$13:$EM$14</formula1>
    </dataValidation>
  </dataValidation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5CADB-92D9-4BD2-A38D-6DFBE6865533}">
  <sheetPr>
    <pageSetUpPr fitToPage="1"/>
  </sheetPr>
  <dimension ref="B1:IO305"/>
  <sheetViews>
    <sheetView zoomScale="85" zoomScaleNormal="85" workbookViewId="0">
      <selection activeCell="CU25" sqref="CU25"/>
    </sheetView>
  </sheetViews>
  <sheetFormatPr defaultColWidth="9.140625" defaultRowHeight="15"/>
  <cols>
    <col min="1" max="128" width="2.7109375" style="1" customWidth="1"/>
    <col min="129" max="131" width="2.7109375" style="2" customWidth="1"/>
    <col min="132" max="133" width="2.7109375" style="1" customWidth="1"/>
    <col min="134" max="148" width="2.7109375" style="3" customWidth="1"/>
    <col min="149" max="167" width="2.7109375" style="1" customWidth="1"/>
    <col min="168" max="168" width="9.140625" style="1" customWidth="1"/>
    <col min="169" max="169" width="0.28515625" style="1" customWidth="1"/>
    <col min="170" max="189" width="9.140625" style="1" customWidth="1"/>
    <col min="190" max="249" width="2.7109375" style="1" customWidth="1"/>
    <col min="250" max="250" width="9.140625" style="1" customWidth="1"/>
    <col min="251" max="16384" width="9.140625" style="1"/>
  </cols>
  <sheetData>
    <row r="1" spans="2:148" ht="18" customHeight="1"/>
    <row r="2" spans="2:148" ht="18" customHeight="1">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48" ht="18" customHeight="1">
      <c r="B3" s="7"/>
      <c r="AO3" s="8" t="s">
        <v>0</v>
      </c>
      <c r="AP3" s="9"/>
      <c r="AR3" s="7"/>
      <c r="CF3" s="9"/>
    </row>
    <row r="4" spans="2:148" ht="18" customHeight="1">
      <c r="B4" s="7"/>
      <c r="AO4" s="10" t="s">
        <v>1</v>
      </c>
      <c r="AP4" s="9"/>
      <c r="AR4" s="7"/>
      <c r="CF4" s="9"/>
      <c r="DY4" s="1"/>
      <c r="DZ4" s="1"/>
      <c r="EA4" s="1"/>
      <c r="ED4" s="1"/>
      <c r="EE4" s="1"/>
      <c r="EF4" s="1"/>
      <c r="EG4" s="1"/>
      <c r="EH4" s="1"/>
      <c r="EI4" s="1"/>
      <c r="EJ4" s="1"/>
      <c r="EK4" s="1"/>
      <c r="EL4" s="1"/>
      <c r="EM4" s="1"/>
      <c r="EN4" s="1"/>
      <c r="EO4" s="1"/>
      <c r="EP4" s="1"/>
      <c r="EQ4" s="1"/>
      <c r="ER4" s="1"/>
    </row>
    <row r="5" spans="2:148" ht="18" customHeight="1" thickBot="1">
      <c r="B5" s="7"/>
      <c r="AO5" s="10" t="s">
        <v>2</v>
      </c>
      <c r="AP5" s="9"/>
      <c r="AR5" s="7"/>
      <c r="AS5" s="11" t="s">
        <v>155</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DY5" s="1"/>
      <c r="DZ5" s="1"/>
      <c r="EA5" s="1"/>
      <c r="ED5" s="1"/>
      <c r="EE5" s="1"/>
      <c r="EF5" s="1"/>
      <c r="EG5" s="1"/>
      <c r="EH5" s="1"/>
      <c r="EI5" s="1"/>
      <c r="EJ5" s="1"/>
      <c r="EK5" s="1"/>
      <c r="EL5" s="1"/>
      <c r="EM5" s="1"/>
      <c r="EN5" s="1"/>
      <c r="EO5" s="1"/>
      <c r="EP5" s="1"/>
      <c r="EQ5" s="1"/>
      <c r="ER5" s="1"/>
    </row>
    <row r="6" spans="2:148" ht="18" customHeight="1" thickBot="1">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DY6" s="1"/>
      <c r="DZ6" s="1"/>
      <c r="EA6" s="1"/>
      <c r="ED6" s="1"/>
      <c r="EE6" s="1"/>
      <c r="EF6" s="1"/>
      <c r="EG6" s="1"/>
      <c r="EH6" s="1"/>
      <c r="EI6" s="1"/>
      <c r="EJ6" s="1"/>
      <c r="EK6" s="1"/>
      <c r="EL6" s="1"/>
      <c r="EM6" s="1"/>
      <c r="EN6" s="1"/>
      <c r="EO6" s="1"/>
      <c r="EP6" s="1"/>
      <c r="EQ6" s="1"/>
      <c r="ER6" s="1"/>
    </row>
    <row r="7" spans="2:148" ht="18" customHeight="1">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DY7" s="1"/>
      <c r="DZ7" s="1"/>
      <c r="EA7" s="1"/>
      <c r="ED7" s="1"/>
      <c r="EE7" s="1"/>
      <c r="EF7" s="1"/>
      <c r="EG7" s="1"/>
      <c r="EH7" s="1"/>
      <c r="EI7" s="1"/>
      <c r="EJ7" s="1"/>
      <c r="EK7" s="1"/>
      <c r="EL7" s="1"/>
      <c r="EM7" s="1"/>
      <c r="EN7" s="1"/>
      <c r="EO7" s="1"/>
      <c r="EP7" s="1"/>
      <c r="EQ7" s="1"/>
      <c r="ER7" s="1"/>
    </row>
    <row r="8" spans="2:148" ht="18" customHeight="1">
      <c r="B8" s="7"/>
      <c r="C8" s="183" t="s">
        <v>159</v>
      </c>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9"/>
      <c r="AR8" s="7"/>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9"/>
      <c r="DY8" s="1"/>
      <c r="DZ8" s="1"/>
      <c r="EA8" s="1"/>
      <c r="ED8" s="1"/>
      <c r="EE8" s="1"/>
      <c r="EF8" s="1"/>
      <c r="EG8" s="1"/>
      <c r="EH8" s="1"/>
      <c r="EI8" s="1"/>
      <c r="EJ8" s="1"/>
      <c r="EK8" s="1"/>
      <c r="EL8" s="1"/>
      <c r="EM8" s="1"/>
      <c r="EN8" s="1"/>
      <c r="EO8" s="1"/>
      <c r="EP8" s="1"/>
      <c r="EQ8" s="1"/>
      <c r="ER8" s="1"/>
    </row>
    <row r="9" spans="2:148" ht="18" customHeight="1">
      <c r="B9" s="7"/>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9"/>
      <c r="AR9" s="7"/>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9"/>
      <c r="DY9" s="1"/>
      <c r="DZ9" s="1"/>
      <c r="EA9" s="1"/>
      <c r="ED9" s="1"/>
      <c r="EE9" s="1"/>
      <c r="EF9" s="1"/>
      <c r="EG9" s="1"/>
      <c r="EH9" s="1"/>
      <c r="EI9" s="1"/>
      <c r="EJ9" s="1"/>
      <c r="EK9" s="1"/>
      <c r="EL9" s="1"/>
      <c r="EM9" s="1"/>
      <c r="EN9" s="1"/>
      <c r="EO9" s="1"/>
      <c r="EP9" s="1"/>
      <c r="EQ9" s="1"/>
      <c r="ER9" s="1"/>
    </row>
    <row r="10" spans="2:148" ht="18" customHeight="1">
      <c r="B10" s="7"/>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3"/>
      <c r="AN10" s="183"/>
      <c r="AO10" s="183"/>
      <c r="AP10" s="9"/>
      <c r="AR10" s="7"/>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9"/>
      <c r="DY10" s="1"/>
      <c r="DZ10" s="1"/>
      <c r="EA10" s="1"/>
      <c r="ED10" s="1"/>
      <c r="EE10" s="1"/>
      <c r="EF10" s="1"/>
      <c r="EG10" s="1"/>
      <c r="EH10" s="1"/>
      <c r="EI10" s="1"/>
      <c r="EJ10" s="1"/>
      <c r="EK10" s="1"/>
      <c r="EL10" s="1"/>
      <c r="EM10" s="1"/>
      <c r="EN10" s="1"/>
      <c r="EO10" s="1"/>
      <c r="EP10" s="1"/>
      <c r="EQ10" s="1"/>
      <c r="ER10" s="1"/>
    </row>
    <row r="11" spans="2:148" ht="18" customHeight="1">
      <c r="B11" s="7"/>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14"/>
      <c r="AP11" s="9"/>
      <c r="AR11" s="7"/>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9"/>
      <c r="DY11" s="1"/>
      <c r="DZ11" s="1"/>
      <c r="EA11" s="1"/>
      <c r="ED11" s="1"/>
      <c r="EE11" s="1"/>
      <c r="EF11" s="1"/>
      <c r="EG11" s="1"/>
      <c r="EH11" s="1"/>
      <c r="EI11" s="1"/>
      <c r="EJ11" s="1"/>
      <c r="EK11" s="1"/>
      <c r="EL11" s="1"/>
      <c r="EM11" s="1"/>
      <c r="EN11" s="1"/>
      <c r="EO11" s="1"/>
      <c r="EP11" s="1"/>
      <c r="EQ11" s="1"/>
      <c r="ER11" s="1"/>
    </row>
    <row r="12" spans="2:148" ht="18" customHeight="1">
      <c r="B12" s="7"/>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4"/>
      <c r="AP12" s="9"/>
      <c r="AR12" s="7"/>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9"/>
      <c r="DY12" s="1"/>
      <c r="DZ12" s="1"/>
      <c r="EA12" s="1"/>
      <c r="ED12" s="1"/>
      <c r="EE12" s="1"/>
      <c r="EF12" s="1"/>
      <c r="EG12" s="1"/>
      <c r="EH12" s="1"/>
      <c r="EI12" s="1"/>
      <c r="EJ12" s="1"/>
      <c r="EK12" s="1"/>
      <c r="EL12" s="1"/>
      <c r="EM12" s="1"/>
      <c r="EN12" s="1"/>
      <c r="EO12" s="1"/>
      <c r="EP12" s="1"/>
      <c r="EQ12" s="1"/>
      <c r="ER12" s="1"/>
    </row>
    <row r="13" spans="2:148" ht="18" customHeight="1">
      <c r="B13" s="7"/>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4"/>
      <c r="AP13" s="9"/>
      <c r="AR13" s="7"/>
      <c r="CF13" s="9"/>
      <c r="DY13" s="1"/>
      <c r="DZ13" s="1"/>
      <c r="EA13" s="1"/>
      <c r="ED13" s="1"/>
      <c r="EE13" s="1"/>
      <c r="EF13" s="1"/>
      <c r="EG13" s="1"/>
      <c r="EH13" s="1"/>
      <c r="EI13" s="1"/>
      <c r="EJ13" s="1"/>
      <c r="EK13" s="1"/>
      <c r="EL13" s="1"/>
      <c r="EM13" s="1"/>
      <c r="EN13" s="1"/>
      <c r="EO13" s="1"/>
      <c r="EP13" s="1"/>
      <c r="EQ13" s="1"/>
      <c r="ER13" s="1"/>
    </row>
    <row r="14" spans="2:148" ht="18" customHeight="1">
      <c r="B14" s="7"/>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4"/>
      <c r="AP14" s="9"/>
      <c r="AR14" s="7"/>
      <c r="CF14" s="9"/>
      <c r="DY14" s="1"/>
      <c r="DZ14" s="1"/>
      <c r="EA14" s="1"/>
      <c r="ED14" s="1"/>
      <c r="EE14" s="1"/>
      <c r="EF14" s="1"/>
      <c r="EG14" s="1"/>
      <c r="EH14" s="1"/>
      <c r="EI14" s="1"/>
      <c r="EJ14" s="1"/>
      <c r="EK14" s="1"/>
      <c r="EL14" s="1"/>
      <c r="EM14" s="1"/>
      <c r="EN14" s="1"/>
      <c r="EO14" s="1"/>
      <c r="EP14" s="1"/>
      <c r="EQ14" s="1"/>
      <c r="ER14" s="1"/>
    </row>
    <row r="15" spans="2:148" ht="18" customHeight="1">
      <c r="B15" s="7"/>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4"/>
      <c r="AP15" s="9"/>
      <c r="AR15" s="7"/>
      <c r="AY15" s="62"/>
      <c r="CF15" s="9"/>
      <c r="DY15" s="1"/>
      <c r="DZ15" s="1"/>
      <c r="EA15" s="1"/>
      <c r="ED15" s="1"/>
      <c r="EE15" s="1"/>
      <c r="EF15" s="1"/>
      <c r="EG15" s="1"/>
      <c r="EH15" s="1"/>
      <c r="EI15" s="1"/>
      <c r="EJ15" s="1"/>
      <c r="EK15" s="1"/>
      <c r="EL15" s="1"/>
      <c r="EM15" s="1"/>
      <c r="EN15" s="1"/>
      <c r="EO15" s="1"/>
      <c r="EP15" s="1"/>
      <c r="EQ15" s="1"/>
      <c r="ER15" s="1"/>
    </row>
    <row r="16" spans="2:148" ht="18" customHeight="1">
      <c r="B16" s="7"/>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4"/>
      <c r="AP16" s="9"/>
      <c r="AR16" s="7"/>
      <c r="CF16" s="9"/>
      <c r="DY16" s="1"/>
      <c r="DZ16" s="1"/>
      <c r="EA16" s="1"/>
      <c r="ED16" s="1"/>
      <c r="EE16" s="1"/>
      <c r="EF16" s="1"/>
      <c r="EG16" s="1"/>
      <c r="EH16" s="1"/>
      <c r="EI16" s="1"/>
      <c r="EJ16" s="1"/>
      <c r="EK16" s="1"/>
      <c r="EL16" s="1"/>
      <c r="EM16" s="1"/>
      <c r="EN16" s="1"/>
      <c r="EO16" s="1"/>
      <c r="EP16" s="1"/>
      <c r="EQ16" s="1"/>
      <c r="ER16" s="1"/>
    </row>
    <row r="17" spans="2:148" ht="18" customHeight="1">
      <c r="B17" s="7"/>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4"/>
      <c r="AP17" s="9"/>
      <c r="AR17" s="7"/>
      <c r="CF17" s="9"/>
      <c r="DY17" s="1"/>
      <c r="DZ17" s="1"/>
      <c r="EA17" s="1"/>
      <c r="ED17" s="1"/>
      <c r="EE17" s="1"/>
      <c r="EF17" s="1"/>
      <c r="EG17" s="1"/>
      <c r="EH17" s="1"/>
      <c r="EI17" s="1"/>
      <c r="EJ17" s="1"/>
      <c r="EK17" s="1"/>
      <c r="EL17" s="1"/>
      <c r="EM17" s="1"/>
      <c r="EN17" s="1"/>
      <c r="EO17" s="1"/>
      <c r="EP17" s="1"/>
      <c r="EQ17" s="1"/>
      <c r="ER17" s="1"/>
    </row>
    <row r="18" spans="2:148" ht="18" customHeight="1">
      <c r="B18" s="7"/>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4"/>
      <c r="AP18" s="9"/>
      <c r="AR18" s="7"/>
      <c r="CF18" s="9"/>
      <c r="DY18" s="1"/>
      <c r="DZ18" s="1"/>
      <c r="EA18" s="1"/>
      <c r="ED18" s="1"/>
      <c r="EE18" s="1"/>
      <c r="EF18" s="1"/>
      <c r="EG18" s="1"/>
      <c r="EH18" s="1"/>
      <c r="EI18" s="1"/>
      <c r="EJ18" s="1"/>
      <c r="EK18" s="1"/>
      <c r="EL18" s="1"/>
      <c r="EM18" s="1"/>
      <c r="EN18" s="1"/>
      <c r="EO18" s="1"/>
      <c r="EP18" s="1"/>
      <c r="EQ18" s="1"/>
      <c r="ER18" s="1"/>
    </row>
    <row r="19" spans="2:148" ht="18" customHeight="1">
      <c r="B19" s="7"/>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4"/>
      <c r="AP19" s="9"/>
      <c r="AR19" s="7"/>
      <c r="CF19" s="9"/>
      <c r="DY19" s="1"/>
      <c r="DZ19" s="1"/>
      <c r="EA19" s="1"/>
      <c r="ED19" s="1"/>
      <c r="EE19" s="1"/>
      <c r="EF19" s="1"/>
      <c r="EG19" s="1"/>
      <c r="EH19" s="1"/>
      <c r="EI19" s="1"/>
      <c r="EJ19" s="1"/>
      <c r="EK19" s="1"/>
      <c r="EL19" s="1"/>
      <c r="EM19" s="1"/>
      <c r="EN19" s="1"/>
      <c r="EO19" s="1"/>
      <c r="EP19" s="1"/>
      <c r="EQ19" s="1"/>
      <c r="ER19" s="1"/>
    </row>
    <row r="20" spans="2:148" ht="18" customHeight="1">
      <c r="B20" s="7"/>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4"/>
      <c r="AP20" s="9"/>
      <c r="AR20" s="7"/>
      <c r="CF20" s="9"/>
      <c r="DY20" s="1"/>
      <c r="DZ20" s="1"/>
      <c r="EA20" s="1"/>
      <c r="ED20" s="1"/>
      <c r="EE20" s="1"/>
      <c r="EF20" s="1"/>
      <c r="EG20" s="1"/>
      <c r="EH20" s="1"/>
      <c r="EI20" s="1"/>
      <c r="EJ20" s="1"/>
      <c r="EK20" s="1"/>
      <c r="EL20" s="1"/>
      <c r="EM20" s="1"/>
      <c r="EN20" s="1"/>
      <c r="EO20" s="1"/>
      <c r="EP20" s="1"/>
      <c r="EQ20" s="1"/>
      <c r="ER20" s="1"/>
    </row>
    <row r="21" spans="2:148" ht="18" customHeight="1">
      <c r="B21" s="7"/>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4"/>
      <c r="AP21" s="9"/>
      <c r="AR21" s="7"/>
      <c r="CF21" s="9"/>
      <c r="DY21" s="1"/>
      <c r="DZ21" s="1"/>
      <c r="EA21" s="1"/>
      <c r="ED21" s="1"/>
      <c r="EE21" s="1"/>
      <c r="EF21" s="1"/>
      <c r="EG21" s="1"/>
      <c r="EH21" s="1"/>
      <c r="EI21" s="1"/>
      <c r="EJ21" s="1"/>
      <c r="EK21" s="1"/>
      <c r="EL21" s="1"/>
      <c r="EM21" s="1"/>
      <c r="EN21" s="1"/>
      <c r="EO21" s="1"/>
      <c r="EP21" s="1"/>
      <c r="EQ21" s="1"/>
      <c r="ER21" s="1"/>
    </row>
    <row r="22" spans="2:148" ht="18" customHeight="1">
      <c r="B22" s="7"/>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4"/>
      <c r="AP22" s="9"/>
      <c r="AR22" s="7"/>
      <c r="CF22" s="9"/>
      <c r="DY22" s="1"/>
      <c r="DZ22" s="1"/>
      <c r="EA22" s="1"/>
      <c r="ED22" s="1"/>
      <c r="EE22" s="1"/>
      <c r="EF22" s="1"/>
      <c r="EG22" s="1"/>
      <c r="EH22" s="1"/>
      <c r="EI22" s="1"/>
      <c r="EJ22" s="1"/>
      <c r="EK22" s="1"/>
      <c r="EL22" s="1"/>
      <c r="EM22" s="1"/>
      <c r="EN22" s="1"/>
      <c r="EO22" s="1"/>
      <c r="EP22" s="1"/>
      <c r="EQ22" s="1"/>
      <c r="ER22" s="1"/>
    </row>
    <row r="23" spans="2:148" ht="18" customHeight="1">
      <c r="B23" s="7"/>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4"/>
      <c r="AP23" s="9"/>
      <c r="AR23" s="7"/>
      <c r="CF23" s="9"/>
      <c r="DY23" s="1"/>
      <c r="DZ23" s="1"/>
      <c r="EA23" s="1"/>
      <c r="ED23" s="1"/>
      <c r="EE23" s="1"/>
      <c r="EF23" s="1"/>
      <c r="EG23" s="1"/>
      <c r="EH23" s="1"/>
      <c r="EI23" s="1"/>
      <c r="EJ23" s="1"/>
      <c r="EK23" s="1"/>
      <c r="EL23" s="1"/>
      <c r="EM23" s="1"/>
      <c r="EN23" s="1"/>
      <c r="EO23" s="1"/>
      <c r="EP23" s="1"/>
      <c r="EQ23" s="1"/>
      <c r="ER23" s="1"/>
    </row>
    <row r="24" spans="2:148" ht="18" customHeight="1">
      <c r="B24" s="7"/>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4"/>
      <c r="AP24" s="9"/>
      <c r="AR24" s="7"/>
      <c r="CF24" s="9"/>
      <c r="DY24" s="1"/>
      <c r="DZ24" s="1"/>
      <c r="EA24" s="1"/>
      <c r="ED24" s="1"/>
      <c r="EE24" s="1"/>
      <c r="EF24" s="1"/>
      <c r="EG24" s="1"/>
      <c r="EH24" s="1"/>
      <c r="EI24" s="1"/>
      <c r="EJ24" s="1"/>
      <c r="EK24" s="1"/>
      <c r="EL24" s="1"/>
      <c r="EM24" s="1"/>
      <c r="EN24" s="1"/>
      <c r="EO24" s="1"/>
      <c r="EP24" s="1"/>
      <c r="EQ24" s="1"/>
      <c r="ER24" s="1"/>
    </row>
    <row r="25" spans="2:148" ht="18" customHeight="1">
      <c r="B25" s="7"/>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4"/>
      <c r="AP25" s="20"/>
      <c r="AR25" s="7"/>
      <c r="CF25" s="9"/>
      <c r="DY25" s="1"/>
      <c r="DZ25" s="1"/>
      <c r="EA25" s="1"/>
      <c r="ED25" s="1"/>
      <c r="EE25" s="1"/>
      <c r="EF25" s="1"/>
      <c r="EG25" s="1"/>
      <c r="EH25" s="1"/>
      <c r="EI25" s="1"/>
      <c r="EJ25" s="1"/>
      <c r="EK25" s="1"/>
      <c r="EL25" s="1"/>
      <c r="EM25" s="1"/>
      <c r="EN25" s="1"/>
      <c r="EO25" s="1"/>
      <c r="EP25" s="1"/>
      <c r="EQ25" s="1"/>
      <c r="ER25" s="1"/>
    </row>
    <row r="26" spans="2:148" ht="18" customHeight="1">
      <c r="B26" s="7"/>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4"/>
      <c r="AP26" s="9"/>
      <c r="AR26" s="7"/>
      <c r="CF26" s="21"/>
      <c r="DY26" s="1"/>
      <c r="DZ26" s="1"/>
      <c r="EA26" s="1"/>
      <c r="ED26" s="1"/>
      <c r="EE26" s="1"/>
      <c r="EF26" s="1"/>
      <c r="EG26" s="1"/>
      <c r="EH26" s="1"/>
      <c r="EI26" s="1"/>
      <c r="EJ26" s="1"/>
      <c r="EK26" s="1"/>
      <c r="EL26" s="1"/>
      <c r="EM26" s="1"/>
      <c r="EN26" s="1"/>
      <c r="EO26" s="1"/>
      <c r="EP26" s="1"/>
      <c r="EQ26" s="1"/>
      <c r="ER26" s="1"/>
    </row>
    <row r="27" spans="2:148" ht="18" customHeight="1">
      <c r="B27" s="7"/>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4"/>
      <c r="AP27" s="9"/>
      <c r="AR27" s="7"/>
      <c r="CF27" s="9"/>
      <c r="DY27" s="1"/>
      <c r="DZ27" s="1"/>
      <c r="EA27" s="1"/>
      <c r="ED27" s="1"/>
      <c r="EE27" s="1"/>
      <c r="EF27" s="1"/>
      <c r="EG27" s="1"/>
      <c r="EH27" s="1"/>
      <c r="EI27" s="1"/>
      <c r="EJ27" s="1"/>
      <c r="EK27" s="1"/>
      <c r="EL27" s="1"/>
      <c r="EM27" s="1"/>
      <c r="EN27" s="1"/>
      <c r="EO27" s="1"/>
      <c r="EP27" s="1"/>
      <c r="EQ27" s="1"/>
      <c r="ER27" s="1"/>
    </row>
    <row r="28" spans="2:148" ht="18" customHeight="1">
      <c r="B28" s="7"/>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4"/>
      <c r="AP28" s="9"/>
      <c r="AR28" s="7"/>
      <c r="CF28" s="9"/>
      <c r="DY28" s="1"/>
      <c r="DZ28" s="1"/>
      <c r="EA28" s="1"/>
      <c r="ED28" s="1"/>
      <c r="EE28" s="1"/>
      <c r="EF28" s="1"/>
      <c r="EG28" s="1"/>
      <c r="EH28" s="1"/>
      <c r="EI28" s="1"/>
      <c r="EJ28" s="1"/>
      <c r="EK28" s="1"/>
      <c r="EL28" s="1"/>
      <c r="EM28" s="1"/>
      <c r="EN28" s="1"/>
      <c r="EO28" s="1"/>
      <c r="EP28" s="1"/>
      <c r="EQ28" s="1"/>
      <c r="ER28" s="1"/>
    </row>
    <row r="29" spans="2:148" ht="18" customHeight="1">
      <c r="B29" s="7"/>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P29" s="9"/>
      <c r="AR29" s="7"/>
      <c r="CF29" s="9"/>
      <c r="DY29" s="1"/>
      <c r="DZ29" s="1"/>
      <c r="EA29" s="1"/>
      <c r="ED29" s="1"/>
      <c r="EE29" s="1"/>
      <c r="EF29" s="1"/>
      <c r="EG29" s="1"/>
      <c r="EH29" s="1"/>
      <c r="EI29" s="1"/>
      <c r="EJ29" s="1"/>
      <c r="EK29" s="1"/>
      <c r="EL29" s="1"/>
      <c r="EM29" s="1"/>
      <c r="EN29" s="1"/>
      <c r="EO29" s="1"/>
      <c r="EP29" s="1"/>
      <c r="EQ29" s="1"/>
      <c r="ER29" s="1"/>
    </row>
    <row r="30" spans="2:148" ht="18" customHeight="1">
      <c r="B30" s="7"/>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14"/>
      <c r="AP30" s="9"/>
      <c r="AR30" s="7"/>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9"/>
      <c r="DY30" s="1"/>
      <c r="DZ30" s="1"/>
      <c r="EA30" s="1"/>
      <c r="ED30" s="1"/>
      <c r="EE30" s="1"/>
      <c r="EF30" s="1"/>
      <c r="EG30" s="1"/>
      <c r="EH30" s="1"/>
      <c r="EI30" s="1"/>
      <c r="EJ30" s="1"/>
      <c r="EK30" s="1"/>
      <c r="EL30" s="1"/>
      <c r="EM30" s="1"/>
      <c r="EN30" s="1"/>
      <c r="EO30" s="1"/>
      <c r="EP30" s="1"/>
      <c r="EQ30" s="1"/>
      <c r="ER30" s="1"/>
    </row>
    <row r="31" spans="2:148" ht="18" customHeight="1">
      <c r="B31" s="7"/>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35"/>
      <c r="AP31" s="9"/>
      <c r="AR31" s="7"/>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9"/>
      <c r="DY31" s="1"/>
      <c r="DZ31" s="1"/>
      <c r="EA31" s="1"/>
      <c r="ED31" s="1"/>
      <c r="EE31" s="1"/>
      <c r="EF31" s="1"/>
      <c r="EG31" s="1"/>
      <c r="EH31" s="1"/>
      <c r="EI31" s="1"/>
      <c r="EJ31" s="1"/>
      <c r="EK31" s="1"/>
      <c r="EL31" s="1"/>
      <c r="EM31" s="1"/>
      <c r="EN31" s="1"/>
      <c r="EO31" s="1"/>
      <c r="EP31" s="1"/>
      <c r="EQ31" s="1"/>
      <c r="ER31" s="1"/>
    </row>
    <row r="32" spans="2:148" ht="18" customHeight="1">
      <c r="B32" s="7"/>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35"/>
      <c r="AP32" s="9"/>
      <c r="AR32" s="7"/>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9"/>
      <c r="DY32" s="1"/>
      <c r="DZ32" s="1"/>
      <c r="EA32" s="1"/>
      <c r="ED32" s="1"/>
      <c r="EE32" s="1"/>
      <c r="EF32" s="1"/>
      <c r="EG32" s="1"/>
      <c r="EH32" s="1"/>
      <c r="EI32" s="1"/>
      <c r="EJ32" s="1"/>
      <c r="EK32" s="1"/>
      <c r="EL32" s="1"/>
      <c r="EM32" s="1"/>
      <c r="EN32" s="1"/>
      <c r="EO32" s="1"/>
      <c r="EP32" s="1"/>
      <c r="EQ32" s="1"/>
      <c r="ER32" s="1"/>
    </row>
    <row r="33" spans="2:249" ht="18" customHeight="1">
      <c r="B33" s="7"/>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35"/>
      <c r="AP33" s="9"/>
      <c r="AR33" s="7"/>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9"/>
      <c r="DY33" s="1"/>
      <c r="DZ33" s="1"/>
      <c r="EA33" s="1"/>
      <c r="ED33" s="1"/>
      <c r="EE33" s="1"/>
      <c r="EF33" s="1"/>
      <c r="EG33" s="1"/>
      <c r="EH33" s="1"/>
      <c r="EI33" s="1"/>
      <c r="EJ33" s="1"/>
      <c r="EK33" s="1"/>
      <c r="EL33" s="1"/>
      <c r="EM33" s="1"/>
      <c r="EN33" s="1"/>
      <c r="EO33" s="1"/>
      <c r="EP33" s="1"/>
      <c r="EQ33" s="1"/>
      <c r="ER33" s="1"/>
    </row>
    <row r="34" spans="2:249" ht="18" customHeight="1">
      <c r="B34" s="7"/>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35"/>
      <c r="AP34" s="9"/>
      <c r="AR34" s="7"/>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9"/>
      <c r="DY34" s="1"/>
      <c r="DZ34" s="1"/>
      <c r="EA34" s="1"/>
      <c r="ED34" s="1"/>
      <c r="EE34" s="1"/>
      <c r="EF34" s="1"/>
      <c r="EG34" s="1"/>
      <c r="EH34" s="1"/>
      <c r="EI34" s="1"/>
      <c r="EJ34" s="1"/>
      <c r="EK34" s="1"/>
      <c r="EL34" s="1"/>
      <c r="EM34" s="1"/>
      <c r="EN34" s="1"/>
      <c r="EO34" s="1"/>
      <c r="EP34" s="1"/>
      <c r="EQ34" s="1"/>
      <c r="ER34" s="1"/>
    </row>
    <row r="35" spans="2:249" ht="18" customHeight="1">
      <c r="B35" s="7"/>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35"/>
      <c r="AP35" s="9"/>
      <c r="AR35" s="7"/>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9"/>
      <c r="DY35" s="1"/>
      <c r="DZ35" s="1"/>
      <c r="EA35" s="1"/>
      <c r="ED35" s="1"/>
      <c r="EE35" s="1"/>
      <c r="EF35" s="1"/>
      <c r="EG35" s="1"/>
      <c r="EH35" s="1"/>
      <c r="EI35" s="1"/>
      <c r="EJ35" s="1"/>
      <c r="EK35" s="1"/>
      <c r="EL35" s="1"/>
      <c r="EM35" s="1"/>
      <c r="EN35" s="1"/>
      <c r="EO35" s="1"/>
      <c r="EP35" s="1"/>
      <c r="EQ35" s="1"/>
      <c r="ER35" s="1"/>
      <c r="HC35" s="177"/>
      <c r="HD35" s="177"/>
      <c r="HE35" s="177"/>
      <c r="HF35" s="177"/>
      <c r="HG35" s="177"/>
      <c r="HH35" s="177"/>
      <c r="HI35" s="177"/>
      <c r="HJ35" s="177"/>
      <c r="HK35" s="177"/>
      <c r="HL35" s="177"/>
      <c r="HM35" s="177"/>
      <c r="HN35" s="177"/>
      <c r="HO35" s="177"/>
      <c r="HP35" s="177"/>
      <c r="HQ35" s="177"/>
      <c r="HR35" s="177"/>
      <c r="HS35" s="177"/>
      <c r="HT35" s="177"/>
      <c r="HU35" s="177"/>
      <c r="HV35" s="177"/>
      <c r="HW35" s="177"/>
      <c r="HX35" s="177"/>
      <c r="HY35" s="177"/>
      <c r="HZ35" s="177"/>
      <c r="IA35" s="177"/>
      <c r="IB35" s="177"/>
      <c r="IC35" s="177"/>
      <c r="ID35" s="177"/>
      <c r="IE35" s="177"/>
      <c r="IF35" s="177"/>
      <c r="IG35" s="177"/>
      <c r="IH35" s="177"/>
      <c r="II35" s="177"/>
      <c r="IJ35" s="177"/>
      <c r="IK35" s="177"/>
      <c r="IL35" s="177"/>
      <c r="IM35" s="177"/>
      <c r="IN35" s="177"/>
      <c r="IO35" s="177"/>
    </row>
    <row r="36" spans="2:249" ht="18" customHeight="1">
      <c r="B36" s="7"/>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35"/>
      <c r="AP36" s="9"/>
      <c r="AR36" s="7"/>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9"/>
      <c r="DY36" s="1"/>
      <c r="DZ36" s="1"/>
      <c r="EA36" s="1"/>
      <c r="ED36" s="1"/>
      <c r="EE36" s="1"/>
      <c r="EF36" s="1"/>
      <c r="EG36" s="1"/>
      <c r="EH36" s="1"/>
      <c r="EI36" s="1"/>
      <c r="EJ36" s="1"/>
      <c r="EK36" s="1"/>
      <c r="EL36" s="1"/>
      <c r="EM36" s="1"/>
      <c r="EN36" s="1"/>
      <c r="EO36" s="1"/>
      <c r="EP36" s="1"/>
      <c r="EQ36" s="1"/>
      <c r="ER36" s="1"/>
      <c r="HC36" s="16"/>
      <c r="HD36" s="16"/>
      <c r="HE36" s="16"/>
      <c r="HF36" s="16"/>
      <c r="HG36" s="16"/>
      <c r="HH36" s="16"/>
      <c r="HI36" s="16"/>
      <c r="HJ36" s="16"/>
      <c r="HK36" s="16"/>
      <c r="HL36" s="16"/>
      <c r="HM36" s="16"/>
      <c r="HN36" s="16"/>
      <c r="HO36" s="16"/>
      <c r="HP36" s="16"/>
      <c r="HQ36" s="16"/>
      <c r="HR36" s="18"/>
      <c r="HS36" s="178"/>
      <c r="HT36" s="179"/>
      <c r="HU36" s="180"/>
      <c r="HV36" s="22"/>
      <c r="HW36" s="16"/>
      <c r="HX36" s="16"/>
      <c r="HY36" s="16"/>
      <c r="HZ36" s="16"/>
      <c r="IA36" s="16"/>
      <c r="IB36" s="16"/>
      <c r="IC36" s="16"/>
      <c r="ID36" s="16"/>
      <c r="IE36" s="16"/>
      <c r="IF36" s="16"/>
      <c r="IG36" s="16"/>
      <c r="IH36" s="16"/>
      <c r="II36" s="16"/>
      <c r="IJ36" s="16"/>
      <c r="IK36" s="16"/>
      <c r="IL36" s="16"/>
      <c r="IM36" s="16"/>
      <c r="IN36" s="16"/>
      <c r="IO36" s="16"/>
    </row>
    <row r="37" spans="2:249" ht="18" customHeight="1">
      <c r="B37" s="7"/>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35"/>
      <c r="AP37" s="9"/>
      <c r="AR37" s="7"/>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9"/>
      <c r="DY37" s="1"/>
      <c r="DZ37" s="1"/>
      <c r="EA37" s="1"/>
      <c r="ED37" s="1"/>
      <c r="EE37" s="1"/>
      <c r="EF37" s="1"/>
      <c r="EG37" s="1"/>
      <c r="EH37" s="1"/>
      <c r="EI37" s="1"/>
      <c r="EJ37" s="1"/>
      <c r="EK37" s="1"/>
      <c r="EL37" s="1"/>
      <c r="EM37" s="1"/>
      <c r="EN37" s="1"/>
      <c r="EO37" s="1"/>
      <c r="EP37" s="1"/>
      <c r="EQ37" s="1"/>
      <c r="ER37" s="1"/>
      <c r="HC37" s="16"/>
      <c r="HD37" s="16"/>
      <c r="HE37" s="16"/>
      <c r="HF37" s="16"/>
      <c r="HG37" s="16"/>
      <c r="HH37" s="16"/>
      <c r="HI37" s="16"/>
      <c r="HJ37" s="16"/>
      <c r="HK37" s="16"/>
      <c r="HL37" s="16"/>
      <c r="HM37" s="16"/>
      <c r="HN37" s="23"/>
      <c r="HO37" s="67"/>
      <c r="HP37" s="67"/>
      <c r="HQ37" s="67"/>
      <c r="HR37" s="16"/>
      <c r="HS37" s="16"/>
      <c r="HT37" s="16"/>
      <c r="HU37" s="16"/>
      <c r="HV37" s="16"/>
      <c r="HW37" s="16"/>
      <c r="HX37" s="16"/>
      <c r="HY37" s="16"/>
      <c r="HZ37" s="16"/>
      <c r="IA37" s="16"/>
      <c r="IB37" s="16"/>
      <c r="IC37" s="16"/>
      <c r="ID37" s="16"/>
      <c r="IE37" s="16"/>
      <c r="IF37" s="16"/>
      <c r="IG37" s="16"/>
      <c r="IH37" s="16"/>
      <c r="II37" s="18"/>
      <c r="IJ37" s="64"/>
      <c r="IK37" s="64"/>
      <c r="IL37" s="64"/>
      <c r="IM37" s="16"/>
      <c r="IN37" s="16"/>
      <c r="IO37" s="16"/>
    </row>
    <row r="38" spans="2:249" ht="18" customHeight="1">
      <c r="B38" s="7"/>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35"/>
      <c r="AP38" s="9"/>
      <c r="AR38" s="7"/>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9"/>
      <c r="DY38" s="1"/>
      <c r="DZ38" s="1"/>
      <c r="EA38" s="1"/>
      <c r="ED38" s="1"/>
      <c r="EE38" s="1"/>
      <c r="EF38" s="1"/>
      <c r="EG38" s="1"/>
      <c r="EH38" s="1"/>
      <c r="EI38" s="1"/>
      <c r="EJ38" s="1"/>
      <c r="EK38" s="1"/>
      <c r="EL38" s="1"/>
      <c r="EM38" s="1"/>
      <c r="EN38" s="1"/>
      <c r="EO38" s="1"/>
      <c r="EP38" s="1"/>
      <c r="EQ38" s="1"/>
      <c r="ER38" s="1"/>
      <c r="HN38" s="23"/>
      <c r="HO38" s="64"/>
      <c r="HP38" s="64"/>
      <c r="HQ38" s="64"/>
      <c r="HR38" s="16"/>
      <c r="HS38" s="16"/>
      <c r="HT38" s="16"/>
      <c r="HU38" s="16"/>
      <c r="HV38" s="16"/>
      <c r="HW38" s="16"/>
      <c r="HX38" s="16"/>
      <c r="HY38" s="16"/>
      <c r="HZ38" s="16"/>
      <c r="IA38" s="16"/>
      <c r="IB38" s="16"/>
      <c r="IC38" s="16"/>
      <c r="ID38" s="16"/>
      <c r="IE38" s="16"/>
      <c r="IF38" s="16"/>
      <c r="IG38" s="16"/>
      <c r="IH38" s="16"/>
      <c r="II38" s="18"/>
      <c r="IJ38" s="64"/>
      <c r="IK38" s="64"/>
      <c r="IL38" s="64"/>
      <c r="IM38" s="16"/>
      <c r="IN38" s="16"/>
      <c r="IO38" s="16"/>
    </row>
    <row r="39" spans="2:249" ht="18" customHeight="1">
      <c r="B39" s="7"/>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9"/>
      <c r="AR39" s="7"/>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9"/>
      <c r="DY39" s="1"/>
      <c r="DZ39" s="1"/>
      <c r="EA39" s="1"/>
      <c r="ED39" s="1"/>
      <c r="EE39" s="1"/>
      <c r="EF39" s="1"/>
      <c r="EG39" s="1"/>
      <c r="EH39" s="1"/>
      <c r="EI39" s="1"/>
      <c r="EJ39" s="1"/>
      <c r="EK39" s="1"/>
      <c r="EL39" s="1"/>
      <c r="EM39" s="1"/>
      <c r="EN39" s="1"/>
      <c r="EO39" s="1"/>
      <c r="EP39" s="1"/>
      <c r="EQ39" s="1"/>
      <c r="ER39" s="1"/>
    </row>
    <row r="40" spans="2:249" ht="18" customHeight="1">
      <c r="B40" s="7"/>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9"/>
      <c r="AR40" s="7"/>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9"/>
      <c r="DY40" s="1"/>
      <c r="DZ40" s="1"/>
      <c r="EA40" s="1"/>
      <c r="ED40" s="1"/>
      <c r="EE40" s="1"/>
      <c r="EF40" s="1"/>
      <c r="EG40" s="1"/>
      <c r="EH40" s="1"/>
      <c r="EI40" s="1"/>
      <c r="EJ40" s="1"/>
      <c r="EK40" s="1"/>
      <c r="EL40" s="1"/>
      <c r="EM40" s="1"/>
      <c r="EN40" s="1"/>
      <c r="EO40" s="1"/>
      <c r="EP40" s="1"/>
      <c r="EQ40" s="1"/>
      <c r="ER40" s="1"/>
      <c r="II40" s="186"/>
      <c r="IJ40" s="186"/>
      <c r="IK40" s="186"/>
      <c r="IL40" s="186"/>
      <c r="IM40" s="186"/>
    </row>
    <row r="41" spans="2:249" ht="18" customHeight="1">
      <c r="B41" s="7"/>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9"/>
      <c r="AR41" s="7"/>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9"/>
      <c r="DY41" s="1"/>
      <c r="DZ41" s="1"/>
      <c r="EA41" s="1"/>
      <c r="ED41" s="1"/>
      <c r="EE41" s="1"/>
      <c r="EF41" s="1"/>
      <c r="EG41" s="1"/>
      <c r="EH41" s="1"/>
      <c r="EI41" s="1"/>
      <c r="EJ41" s="1"/>
      <c r="EK41" s="1"/>
      <c r="EL41" s="1"/>
      <c r="EM41" s="1"/>
      <c r="EN41" s="1"/>
      <c r="EO41" s="1"/>
      <c r="EP41" s="1"/>
      <c r="EQ41" s="1"/>
      <c r="ER41" s="1"/>
      <c r="II41" s="187"/>
      <c r="IJ41" s="187"/>
      <c r="IK41" s="187"/>
      <c r="IL41" s="187"/>
      <c r="IM41" s="187"/>
    </row>
    <row r="42" spans="2:249" ht="18" customHeight="1">
      <c r="B42" s="7"/>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9"/>
      <c r="AR42" s="7"/>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9"/>
      <c r="DY42" s="1"/>
      <c r="DZ42" s="1"/>
      <c r="EA42" s="1"/>
      <c r="ED42" s="1"/>
      <c r="EE42" s="1"/>
      <c r="EF42" s="1"/>
      <c r="EG42" s="1"/>
      <c r="EH42" s="1"/>
      <c r="EI42" s="1"/>
      <c r="EJ42" s="1"/>
      <c r="EK42" s="1"/>
      <c r="EL42" s="1"/>
      <c r="EM42" s="1"/>
      <c r="EN42" s="1"/>
      <c r="EO42" s="1"/>
      <c r="EP42" s="1"/>
      <c r="EQ42" s="1"/>
      <c r="ER42" s="1"/>
      <c r="II42" s="185"/>
      <c r="IJ42" s="185"/>
      <c r="IK42" s="185"/>
      <c r="IL42" s="185"/>
      <c r="IM42" s="185"/>
    </row>
    <row r="43" spans="2:249" ht="18" customHeight="1">
      <c r="B43" s="7"/>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9"/>
      <c r="AR43" s="7"/>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9"/>
      <c r="DY43" s="1"/>
      <c r="DZ43" s="1"/>
      <c r="EA43" s="1"/>
      <c r="ED43" s="1"/>
      <c r="EE43" s="1"/>
      <c r="EF43" s="1"/>
      <c r="EG43" s="1"/>
      <c r="EH43" s="1"/>
      <c r="EI43" s="1"/>
      <c r="EJ43" s="1"/>
      <c r="EK43" s="1"/>
      <c r="EL43" s="1"/>
      <c r="EM43" s="1"/>
      <c r="EN43" s="1"/>
      <c r="EO43" s="1"/>
      <c r="EP43" s="1"/>
      <c r="EQ43" s="1"/>
      <c r="ER43" s="1"/>
      <c r="II43" s="64"/>
      <c r="IJ43" s="64"/>
      <c r="IK43" s="64"/>
      <c r="IL43" s="64"/>
      <c r="IM43" s="64"/>
    </row>
    <row r="44" spans="2:249" ht="18" customHeight="1">
      <c r="B44" s="7"/>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9"/>
      <c r="AR44" s="7"/>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9"/>
      <c r="DY44" s="1"/>
      <c r="DZ44" s="1"/>
      <c r="EA44" s="1"/>
      <c r="ED44" s="1"/>
      <c r="EE44" s="1"/>
      <c r="EF44" s="1"/>
      <c r="EG44" s="1"/>
      <c r="EH44" s="1"/>
      <c r="EI44" s="1"/>
      <c r="EJ44" s="1"/>
      <c r="EK44" s="1"/>
      <c r="EL44" s="1"/>
      <c r="EM44" s="1"/>
      <c r="EN44" s="1"/>
      <c r="EO44" s="1"/>
      <c r="EP44" s="1"/>
      <c r="EQ44" s="1"/>
      <c r="ER44" s="1"/>
      <c r="II44" s="64"/>
      <c r="IJ44" s="64"/>
      <c r="IK44" s="64"/>
      <c r="IL44" s="64"/>
      <c r="IM44" s="64"/>
    </row>
    <row r="45" spans="2:249" ht="18" customHeight="1">
      <c r="B45" s="7"/>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9"/>
      <c r="AR45" s="7"/>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9"/>
      <c r="DY45" s="1"/>
      <c r="DZ45" s="1"/>
      <c r="EA45" s="1"/>
      <c r="ED45" s="1"/>
      <c r="EE45" s="1"/>
      <c r="EF45" s="1"/>
      <c r="EG45" s="1"/>
      <c r="EH45" s="1"/>
      <c r="EI45" s="1"/>
      <c r="EJ45" s="1"/>
      <c r="EK45" s="1"/>
      <c r="EL45" s="1"/>
      <c r="EM45" s="1"/>
      <c r="EN45" s="1"/>
      <c r="EO45" s="1"/>
      <c r="EP45" s="1"/>
      <c r="EQ45" s="1"/>
      <c r="ER45" s="1"/>
      <c r="II45" s="64"/>
      <c r="IJ45" s="64"/>
      <c r="IK45" s="64"/>
      <c r="IL45" s="64"/>
      <c r="IM45" s="64"/>
    </row>
    <row r="46" spans="2:249" ht="18" customHeight="1">
      <c r="B46" s="7"/>
      <c r="AP46" s="25"/>
      <c r="AR46" s="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9"/>
      <c r="DY46" s="1"/>
      <c r="DZ46" s="1"/>
      <c r="EA46" s="1"/>
      <c r="ED46" s="1"/>
      <c r="EE46" s="1"/>
      <c r="EF46" s="1"/>
      <c r="EG46" s="1"/>
      <c r="EH46" s="1"/>
      <c r="EI46" s="1"/>
      <c r="EJ46" s="1"/>
      <c r="EK46" s="1"/>
      <c r="EL46" s="1"/>
      <c r="EM46" s="1"/>
      <c r="EN46" s="1"/>
      <c r="EO46" s="1"/>
      <c r="EP46" s="1"/>
      <c r="EQ46" s="1"/>
      <c r="ER46" s="1"/>
      <c r="II46" s="64"/>
      <c r="IJ46" s="64"/>
      <c r="IK46" s="64"/>
      <c r="IL46" s="64"/>
      <c r="IM46" s="64"/>
    </row>
    <row r="47" spans="2:249" ht="18" customHeight="1" thickBot="1">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Y47" s="1"/>
      <c r="DZ47" s="1"/>
      <c r="EA47" s="1"/>
      <c r="ED47" s="1"/>
      <c r="EE47" s="1"/>
      <c r="EF47" s="1"/>
      <c r="EG47" s="1"/>
      <c r="EH47" s="1"/>
      <c r="EI47" s="1"/>
      <c r="EJ47" s="1"/>
      <c r="EK47" s="1"/>
      <c r="EL47" s="1"/>
      <c r="EM47" s="1"/>
      <c r="EN47" s="1"/>
      <c r="EO47" s="1"/>
      <c r="EP47" s="1"/>
      <c r="EQ47" s="1"/>
      <c r="ER47" s="1"/>
      <c r="II47" s="64"/>
      <c r="IJ47" s="64"/>
      <c r="IK47" s="64"/>
      <c r="IL47" s="64"/>
      <c r="IM47" s="64"/>
    </row>
    <row r="48" spans="2:249" ht="18" customHeight="1">
      <c r="B48" s="7"/>
      <c r="D48" s="26" t="s">
        <v>4</v>
      </c>
      <c r="AP48" s="9"/>
      <c r="AR48" s="7"/>
      <c r="AT48" s="26" t="s">
        <v>4</v>
      </c>
      <c r="CE48" s="15" t="s">
        <v>5</v>
      </c>
      <c r="CF48" s="9"/>
      <c r="DY48" s="1"/>
      <c r="DZ48" s="1"/>
      <c r="EA48" s="1"/>
      <c r="ED48" s="1"/>
      <c r="EE48" s="1"/>
      <c r="EF48" s="1"/>
      <c r="EG48" s="1"/>
      <c r="EH48" s="1"/>
      <c r="EI48" s="1"/>
      <c r="EJ48" s="1"/>
      <c r="EK48" s="1"/>
      <c r="EL48" s="1"/>
      <c r="EM48" s="1"/>
      <c r="EN48" s="1"/>
      <c r="EO48" s="1"/>
      <c r="EP48" s="1"/>
      <c r="EQ48" s="1"/>
      <c r="ER48" s="1"/>
      <c r="II48" s="64"/>
      <c r="IJ48" s="64"/>
      <c r="IK48" s="64"/>
      <c r="IL48" s="64"/>
      <c r="IM48" s="64"/>
    </row>
    <row r="49" spans="2:247" ht="18" customHeight="1">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40</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c r="DY49" s="1"/>
      <c r="DZ49" s="1"/>
      <c r="EA49" s="1"/>
      <c r="ED49" s="1"/>
      <c r="EE49" s="1"/>
      <c r="EF49" s="1"/>
      <c r="EG49" s="1"/>
      <c r="EH49" s="1"/>
      <c r="EI49" s="1"/>
      <c r="EJ49" s="1"/>
      <c r="EK49" s="1"/>
      <c r="EL49" s="1"/>
      <c r="EM49" s="1"/>
      <c r="EN49" s="1"/>
      <c r="EO49" s="1"/>
      <c r="EP49" s="1"/>
      <c r="EQ49" s="1"/>
      <c r="ER49" s="1"/>
      <c r="II49" s="64"/>
      <c r="IJ49" s="64"/>
      <c r="IK49" s="64"/>
      <c r="IL49" s="64"/>
      <c r="IM49" s="64"/>
    </row>
    <row r="50" spans="2:247" ht="18" customHeight="1">
      <c r="DY50" s="1"/>
      <c r="DZ50" s="1"/>
      <c r="EA50" s="1"/>
      <c r="ED50" s="1"/>
      <c r="EE50" s="1"/>
      <c r="EF50" s="1"/>
      <c r="EG50" s="1"/>
      <c r="EH50" s="1"/>
      <c r="EI50" s="1"/>
      <c r="EJ50" s="1"/>
      <c r="EK50" s="1"/>
      <c r="EL50" s="1"/>
      <c r="EM50" s="1"/>
      <c r="EN50" s="1"/>
      <c r="EO50" s="1"/>
      <c r="EP50" s="1"/>
      <c r="EQ50" s="1"/>
      <c r="ER50" s="1"/>
      <c r="II50" s="64"/>
      <c r="IJ50" s="64"/>
      <c r="IK50" s="64"/>
      <c r="IL50" s="64"/>
      <c r="IM50" s="64"/>
    </row>
    <row r="51" spans="2:247" ht="18" customHeight="1">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c r="DY51" s="1"/>
      <c r="DZ51" s="1"/>
      <c r="EA51" s="1"/>
      <c r="ED51" s="1"/>
      <c r="EE51" s="1"/>
      <c r="EF51" s="1"/>
      <c r="EG51" s="1"/>
      <c r="EH51" s="1"/>
      <c r="EI51" s="1"/>
      <c r="EJ51" s="1"/>
      <c r="EK51" s="1"/>
      <c r="EL51" s="1"/>
      <c r="EM51" s="1"/>
      <c r="EN51" s="1"/>
      <c r="EO51" s="1"/>
      <c r="EP51" s="1"/>
      <c r="EQ51" s="1"/>
      <c r="ER51" s="1"/>
      <c r="II51" s="64"/>
      <c r="IJ51" s="64"/>
      <c r="IK51" s="64"/>
      <c r="IL51" s="64"/>
      <c r="IM51" s="64"/>
    </row>
    <row r="52" spans="2:247" ht="18" customHeight="1">
      <c r="B52" s="7"/>
      <c r="AN52" s="8"/>
      <c r="AP52" s="9"/>
      <c r="AR52" s="7"/>
      <c r="CF52" s="9"/>
      <c r="DY52" s="1"/>
      <c r="DZ52" s="1"/>
      <c r="EA52" s="1"/>
      <c r="ED52" s="1"/>
      <c r="EE52" s="1"/>
      <c r="EF52" s="1"/>
      <c r="EG52" s="1"/>
      <c r="EH52" s="1"/>
      <c r="EI52" s="1"/>
      <c r="EJ52" s="1"/>
      <c r="EK52" s="1"/>
      <c r="EL52" s="1"/>
      <c r="EM52" s="1"/>
      <c r="EN52" s="1"/>
      <c r="EO52" s="1"/>
      <c r="EP52" s="1"/>
      <c r="EQ52" s="1"/>
      <c r="ER52" s="1"/>
      <c r="II52" s="64"/>
      <c r="IJ52" s="64"/>
      <c r="IK52" s="64"/>
      <c r="IL52" s="64"/>
      <c r="IM52" s="64"/>
    </row>
    <row r="53" spans="2:247" ht="18" customHeight="1">
      <c r="B53" s="7"/>
      <c r="AN53" s="10"/>
      <c r="AP53" s="9"/>
      <c r="AR53" s="7"/>
      <c r="CF53" s="9"/>
      <c r="DY53" s="1"/>
      <c r="DZ53" s="1"/>
      <c r="EA53" s="1"/>
      <c r="ED53" s="1"/>
      <c r="EE53" s="1"/>
      <c r="EF53" s="1"/>
      <c r="EG53" s="1"/>
      <c r="EH53" s="1"/>
      <c r="EI53" s="1"/>
      <c r="EJ53" s="1"/>
      <c r="EK53" s="1"/>
      <c r="EL53" s="1"/>
      <c r="EM53" s="1"/>
      <c r="EN53" s="1"/>
      <c r="EO53" s="1"/>
      <c r="EP53" s="1"/>
      <c r="EQ53" s="1"/>
      <c r="ER53" s="1"/>
      <c r="II53" s="64"/>
      <c r="IJ53" s="64"/>
      <c r="IK53" s="64"/>
      <c r="IL53" s="64"/>
      <c r="IM53" s="64"/>
    </row>
    <row r="54" spans="2:247" ht="18" customHeight="1" thickBot="1">
      <c r="B54" s="7"/>
      <c r="C54" s="11" t="s">
        <v>155</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t="s">
        <v>155</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2"/>
      <c r="CD54" s="11"/>
      <c r="CF54" s="9"/>
      <c r="DY54" s="1"/>
      <c r="DZ54" s="1"/>
      <c r="EA54" s="1"/>
      <c r="ED54" s="1"/>
      <c r="EE54" s="1"/>
      <c r="EF54" s="1"/>
      <c r="EG54" s="1"/>
      <c r="EH54" s="1"/>
      <c r="EI54" s="1"/>
      <c r="EJ54" s="1"/>
      <c r="EK54" s="1"/>
      <c r="EL54" s="1"/>
      <c r="EM54" s="1"/>
      <c r="EN54" s="1"/>
      <c r="EO54" s="1"/>
      <c r="EP54" s="1"/>
      <c r="EQ54" s="1"/>
      <c r="ER54" s="1"/>
      <c r="II54" s="64"/>
      <c r="IJ54" s="64"/>
      <c r="IK54" s="64"/>
      <c r="IL54" s="64"/>
      <c r="IM54" s="64"/>
    </row>
    <row r="55" spans="2:247" ht="18" customHeight="1">
      <c r="B55" s="7"/>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9"/>
      <c r="AR55" s="7"/>
      <c r="CF55" s="9"/>
      <c r="DY55" s="1"/>
      <c r="DZ55" s="1"/>
      <c r="EA55" s="1"/>
      <c r="ED55" s="1"/>
      <c r="EE55" s="1"/>
      <c r="EF55" s="1"/>
      <c r="EG55" s="1"/>
      <c r="EH55" s="1"/>
      <c r="EI55" s="1"/>
      <c r="EJ55" s="1"/>
      <c r="EK55" s="1"/>
      <c r="EL55" s="1"/>
      <c r="EM55" s="1"/>
      <c r="EN55" s="1"/>
      <c r="EO55" s="1"/>
      <c r="EP55" s="1"/>
      <c r="EQ55" s="1"/>
      <c r="ER55" s="1"/>
      <c r="II55" s="64"/>
      <c r="IJ55" s="64"/>
      <c r="IK55" s="64"/>
      <c r="IL55" s="64"/>
      <c r="IM55" s="64"/>
    </row>
    <row r="56" spans="2:247" ht="18" customHeight="1">
      <c r="B56" s="7"/>
      <c r="C56" s="17"/>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9"/>
      <c r="AR56" s="7"/>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9"/>
      <c r="DY56" s="1"/>
      <c r="DZ56" s="1"/>
      <c r="EA56" s="1"/>
      <c r="ED56" s="1"/>
      <c r="EE56" s="1"/>
      <c r="EF56" s="1"/>
      <c r="EG56" s="1"/>
      <c r="EH56" s="1"/>
      <c r="EI56" s="1"/>
      <c r="EJ56" s="1"/>
      <c r="EK56" s="1"/>
      <c r="EL56" s="1"/>
      <c r="EM56" s="1"/>
      <c r="EN56" s="1"/>
      <c r="EO56" s="1"/>
      <c r="EP56" s="1"/>
      <c r="EQ56" s="1"/>
      <c r="ER56" s="1"/>
      <c r="II56" s="64"/>
      <c r="IJ56" s="64"/>
      <c r="IK56" s="64"/>
      <c r="IL56" s="64"/>
      <c r="IM56" s="64"/>
    </row>
    <row r="57" spans="2:247" ht="18" customHeight="1">
      <c r="B57" s="7"/>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9"/>
      <c r="AR57" s="7"/>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9"/>
      <c r="DY57" s="1"/>
      <c r="DZ57" s="1"/>
      <c r="EA57" s="1"/>
      <c r="ED57" s="1"/>
      <c r="EE57" s="1"/>
      <c r="EF57" s="1"/>
      <c r="EG57" s="1"/>
      <c r="EH57" s="1"/>
      <c r="EI57" s="1"/>
      <c r="EJ57" s="1"/>
      <c r="EK57" s="1"/>
      <c r="EL57" s="1"/>
      <c r="EM57" s="1"/>
      <c r="EN57" s="1"/>
      <c r="EO57" s="1"/>
      <c r="EP57" s="1"/>
      <c r="EQ57" s="1"/>
      <c r="ER57" s="1"/>
      <c r="II57" s="184"/>
      <c r="IJ57" s="184"/>
      <c r="IK57" s="184"/>
      <c r="IL57" s="184"/>
      <c r="IM57" s="184"/>
    </row>
    <row r="58" spans="2:247" ht="18" customHeight="1">
      <c r="B58" s="7"/>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9"/>
      <c r="AR58" s="7"/>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9"/>
      <c r="DY58" s="1"/>
      <c r="DZ58" s="1"/>
      <c r="EA58" s="1"/>
      <c r="ED58" s="1"/>
      <c r="EE58" s="1"/>
      <c r="EF58" s="1"/>
      <c r="EG58" s="1"/>
      <c r="EH58" s="1"/>
      <c r="EI58" s="1"/>
      <c r="EJ58" s="1"/>
      <c r="EK58" s="1"/>
      <c r="EL58" s="1"/>
      <c r="EM58" s="1"/>
      <c r="EN58" s="1"/>
      <c r="EO58" s="1"/>
      <c r="EP58" s="1"/>
      <c r="EQ58" s="1"/>
      <c r="ER58" s="1"/>
      <c r="II58" s="185"/>
      <c r="IJ58" s="185"/>
      <c r="IK58" s="185"/>
      <c r="IL58" s="185"/>
      <c r="IM58" s="185"/>
    </row>
    <row r="59" spans="2:247" ht="18" customHeight="1">
      <c r="B59" s="7"/>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9"/>
      <c r="AR59" s="7"/>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9"/>
      <c r="DY59" s="1"/>
      <c r="DZ59" s="1"/>
      <c r="EA59" s="1"/>
      <c r="ED59" s="1"/>
      <c r="EE59" s="1"/>
      <c r="EF59" s="1"/>
      <c r="EG59" s="1"/>
      <c r="EH59" s="1"/>
      <c r="EI59" s="1"/>
      <c r="EJ59" s="1"/>
      <c r="EK59" s="1"/>
      <c r="EL59" s="1"/>
      <c r="EM59" s="1"/>
      <c r="EN59" s="1"/>
      <c r="EO59" s="1"/>
      <c r="EP59" s="1"/>
      <c r="EQ59" s="1"/>
      <c r="ER59" s="1"/>
    </row>
    <row r="60" spans="2:247" ht="18" customHeight="1">
      <c r="B60" s="7"/>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9"/>
      <c r="AR60" s="7"/>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9"/>
      <c r="DY60" s="1"/>
      <c r="DZ60" s="1"/>
      <c r="EA60" s="1"/>
      <c r="ED60" s="1"/>
      <c r="EE60" s="1"/>
      <c r="EF60" s="1"/>
      <c r="EG60" s="1"/>
      <c r="EH60" s="1"/>
      <c r="EI60" s="1"/>
      <c r="EJ60" s="1"/>
      <c r="EK60" s="1"/>
      <c r="EL60" s="1"/>
      <c r="EM60" s="1"/>
      <c r="EN60" s="1"/>
      <c r="EO60" s="1"/>
      <c r="EP60" s="1"/>
      <c r="EQ60" s="1"/>
      <c r="ER60" s="1"/>
      <c r="HL60" s="181"/>
      <c r="HM60" s="181"/>
      <c r="HN60" s="181"/>
      <c r="HO60" s="181"/>
      <c r="HP60" s="181"/>
      <c r="HQ60" s="181"/>
      <c r="HR60" s="181"/>
      <c r="HS60" s="181"/>
      <c r="HT60" s="181"/>
      <c r="HU60" s="181"/>
      <c r="HV60" s="181"/>
      <c r="HW60" s="181"/>
      <c r="HX60" s="181"/>
      <c r="HY60" s="181"/>
      <c r="HZ60" s="182"/>
      <c r="IA60" s="182"/>
      <c r="IB60" s="182"/>
      <c r="IC60" s="182"/>
    </row>
    <row r="61" spans="2:247" ht="18" customHeight="1">
      <c r="B61" s="7"/>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9"/>
      <c r="AR61" s="7"/>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9"/>
      <c r="DY61" s="1"/>
      <c r="DZ61" s="1"/>
      <c r="EA61" s="1"/>
      <c r="ED61" s="1"/>
      <c r="EE61" s="1"/>
      <c r="EF61" s="1"/>
      <c r="EG61" s="1"/>
      <c r="EH61" s="1"/>
      <c r="EI61" s="1"/>
      <c r="EJ61" s="1"/>
      <c r="EK61" s="1"/>
      <c r="EL61" s="1"/>
      <c r="EM61" s="1"/>
      <c r="EN61" s="1"/>
      <c r="EO61" s="1"/>
      <c r="EP61" s="1"/>
      <c r="EQ61" s="1"/>
      <c r="ER61" s="1"/>
    </row>
    <row r="62" spans="2:247" ht="18" customHeight="1">
      <c r="B62" s="7"/>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9"/>
      <c r="AR62" s="7"/>
      <c r="CF62" s="9"/>
      <c r="DY62" s="1"/>
      <c r="DZ62" s="1"/>
      <c r="EA62" s="1"/>
      <c r="ED62" s="1"/>
      <c r="EE62" s="1"/>
      <c r="EF62" s="1"/>
      <c r="EG62" s="1"/>
      <c r="EH62" s="1"/>
      <c r="EI62" s="1"/>
      <c r="EJ62" s="1"/>
      <c r="EK62" s="1"/>
      <c r="EL62" s="1"/>
      <c r="EM62" s="1"/>
      <c r="EN62" s="1"/>
      <c r="EO62" s="1"/>
      <c r="EP62" s="1"/>
      <c r="EQ62" s="1"/>
      <c r="ER62" s="1"/>
    </row>
    <row r="63" spans="2:247" ht="18" customHeight="1">
      <c r="B63" s="7"/>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9"/>
      <c r="AR63" s="7"/>
      <c r="CF63" s="9"/>
      <c r="DY63" s="1"/>
      <c r="DZ63" s="1"/>
      <c r="EA63" s="1"/>
      <c r="ED63" s="1"/>
      <c r="EE63" s="1"/>
      <c r="EF63" s="1"/>
      <c r="EG63" s="1"/>
      <c r="EH63" s="1"/>
      <c r="EI63" s="1"/>
      <c r="EJ63" s="1"/>
      <c r="EK63" s="1"/>
      <c r="EL63" s="1"/>
      <c r="EM63" s="1"/>
      <c r="EN63" s="1"/>
      <c r="EO63" s="1"/>
      <c r="EP63" s="1"/>
      <c r="EQ63" s="1"/>
      <c r="ER63" s="1"/>
    </row>
    <row r="64" spans="2:247" ht="18" customHeight="1">
      <c r="B64" s="7"/>
      <c r="C64" s="17"/>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9"/>
      <c r="AR64" s="7"/>
      <c r="AY64" s="62"/>
      <c r="CF64" s="9"/>
      <c r="DY64" s="1"/>
      <c r="DZ64" s="1"/>
      <c r="EA64" s="1"/>
      <c r="ED64" s="1"/>
      <c r="EE64" s="1"/>
      <c r="EF64" s="1"/>
      <c r="EG64" s="1"/>
      <c r="EH64" s="1"/>
      <c r="EI64" s="1"/>
      <c r="EJ64" s="1"/>
      <c r="EK64" s="1"/>
      <c r="EL64" s="1"/>
      <c r="EM64" s="1"/>
      <c r="EN64" s="1"/>
      <c r="EO64" s="1"/>
      <c r="EP64" s="1"/>
      <c r="EQ64" s="1"/>
      <c r="ER64" s="1"/>
    </row>
    <row r="65" spans="2:148" ht="18" customHeight="1">
      <c r="B65" s="7"/>
      <c r="AP65" s="9"/>
      <c r="AR65" s="7"/>
      <c r="CF65" s="9"/>
      <c r="DY65" s="1"/>
      <c r="DZ65" s="1"/>
      <c r="EA65" s="1"/>
      <c r="ED65" s="1"/>
      <c r="EE65" s="1"/>
      <c r="EF65" s="1"/>
      <c r="EG65" s="1"/>
      <c r="EH65" s="1"/>
      <c r="EI65" s="1"/>
      <c r="EJ65" s="1"/>
      <c r="EK65" s="1"/>
      <c r="EL65" s="1"/>
      <c r="EM65" s="1"/>
      <c r="EN65" s="1"/>
      <c r="EO65" s="1"/>
      <c r="EP65" s="1"/>
      <c r="EQ65" s="1"/>
      <c r="ER65" s="1"/>
    </row>
    <row r="66" spans="2:148" ht="18" customHeight="1">
      <c r="B66" s="7"/>
      <c r="AP66" s="9"/>
      <c r="AR66" s="7"/>
      <c r="CF66" s="9"/>
      <c r="DY66" s="1"/>
      <c r="DZ66" s="1"/>
      <c r="EA66" s="1"/>
      <c r="ED66" s="1"/>
      <c r="EE66" s="1"/>
      <c r="EF66" s="1"/>
      <c r="EG66" s="1"/>
      <c r="EH66" s="1"/>
      <c r="EI66" s="1"/>
      <c r="EJ66" s="1"/>
      <c r="EK66" s="1"/>
      <c r="EL66" s="1"/>
      <c r="EM66" s="1"/>
      <c r="EN66" s="1"/>
      <c r="EO66" s="1"/>
      <c r="EP66" s="1"/>
      <c r="EQ66" s="1"/>
      <c r="ER66" s="1"/>
    </row>
    <row r="67" spans="2:148" ht="18" customHeight="1">
      <c r="B67" s="7"/>
      <c r="AP67" s="9"/>
      <c r="AR67" s="7"/>
      <c r="CF67" s="9"/>
      <c r="DY67" s="1"/>
      <c r="DZ67" s="1"/>
      <c r="EA67" s="1"/>
      <c r="ED67" s="1"/>
      <c r="EE67" s="1"/>
      <c r="EF67" s="1"/>
      <c r="EG67" s="1"/>
      <c r="EH67" s="1"/>
      <c r="EI67" s="1"/>
      <c r="EJ67" s="1"/>
      <c r="EK67" s="1"/>
      <c r="EL67" s="1"/>
      <c r="EM67" s="1"/>
      <c r="EN67" s="1"/>
      <c r="EO67" s="1"/>
      <c r="EP67" s="1"/>
      <c r="EQ67" s="1"/>
      <c r="ER67" s="1"/>
    </row>
    <row r="68" spans="2:148" ht="18" customHeight="1">
      <c r="B68" s="7"/>
      <c r="AP68" s="9"/>
      <c r="AR68" s="7"/>
      <c r="CF68" s="9"/>
      <c r="DY68" s="1"/>
      <c r="DZ68" s="1"/>
      <c r="EA68" s="1"/>
      <c r="ED68" s="1"/>
      <c r="EE68" s="1"/>
      <c r="EF68" s="1"/>
      <c r="EG68" s="1"/>
      <c r="EH68" s="1"/>
      <c r="EI68" s="1"/>
      <c r="EJ68" s="1"/>
      <c r="EK68" s="1"/>
      <c r="EL68" s="1"/>
      <c r="EM68" s="1"/>
      <c r="EN68" s="1"/>
      <c r="EO68" s="1"/>
      <c r="EP68" s="1"/>
      <c r="EQ68" s="1"/>
      <c r="ER68" s="1"/>
    </row>
    <row r="69" spans="2:148" ht="18" customHeight="1">
      <c r="B69" s="7"/>
      <c r="AP69" s="9"/>
      <c r="AR69" s="7"/>
      <c r="CF69" s="9"/>
      <c r="DY69" s="1"/>
      <c r="DZ69" s="1"/>
      <c r="EA69" s="1"/>
      <c r="ED69" s="1"/>
      <c r="EE69" s="1"/>
      <c r="EF69" s="1"/>
      <c r="EG69" s="1"/>
      <c r="EH69" s="1"/>
      <c r="EI69" s="1"/>
      <c r="EJ69" s="1"/>
      <c r="EK69" s="1"/>
      <c r="EL69" s="1"/>
      <c r="EM69" s="1"/>
      <c r="EN69" s="1"/>
      <c r="EO69" s="1"/>
      <c r="EP69" s="1"/>
      <c r="EQ69" s="1"/>
      <c r="ER69" s="1"/>
    </row>
    <row r="70" spans="2:148" ht="18" customHeight="1">
      <c r="B70" s="7"/>
      <c r="AP70" s="9"/>
      <c r="AR70" s="7"/>
      <c r="CF70" s="9"/>
      <c r="DY70" s="1"/>
      <c r="DZ70" s="1"/>
      <c r="EA70" s="1"/>
      <c r="ED70" s="1"/>
      <c r="EE70" s="1"/>
      <c r="EF70" s="1"/>
      <c r="EG70" s="1"/>
      <c r="EH70" s="1"/>
      <c r="EI70" s="1"/>
      <c r="EJ70" s="1"/>
      <c r="EK70" s="1"/>
      <c r="EL70" s="1"/>
      <c r="EM70" s="1"/>
      <c r="EN70" s="1"/>
      <c r="EO70" s="1"/>
      <c r="EP70" s="1"/>
      <c r="EQ70" s="1"/>
      <c r="ER70" s="1"/>
    </row>
    <row r="71" spans="2:148" ht="18" customHeight="1">
      <c r="B71" s="7"/>
      <c r="AP71" s="9"/>
      <c r="AR71" s="7"/>
      <c r="CF71" s="9"/>
      <c r="DY71" s="1"/>
      <c r="DZ71" s="1"/>
      <c r="EA71" s="1"/>
      <c r="ED71" s="1"/>
      <c r="EE71" s="1"/>
      <c r="EF71" s="1"/>
      <c r="EG71" s="1"/>
      <c r="EH71" s="1"/>
      <c r="EI71" s="1"/>
      <c r="EJ71" s="1"/>
      <c r="EK71" s="1"/>
      <c r="EL71" s="1"/>
      <c r="EM71" s="1"/>
      <c r="EN71" s="1"/>
      <c r="EO71" s="1"/>
      <c r="EP71" s="1"/>
      <c r="EQ71" s="1"/>
      <c r="ER71" s="1"/>
    </row>
    <row r="72" spans="2:148" ht="18" customHeight="1">
      <c r="B72" s="7"/>
      <c r="C72" s="17"/>
      <c r="AP72" s="9"/>
      <c r="AR72" s="7"/>
      <c r="CF72" s="9"/>
      <c r="DY72" s="1"/>
      <c r="DZ72" s="1"/>
      <c r="EA72" s="1"/>
      <c r="ED72" s="1"/>
      <c r="EE72" s="1"/>
      <c r="EF72" s="1"/>
      <c r="EG72" s="1"/>
      <c r="EH72" s="1"/>
      <c r="EI72" s="1"/>
      <c r="EJ72" s="1"/>
      <c r="EK72" s="1"/>
      <c r="EL72" s="1"/>
      <c r="EM72" s="1"/>
      <c r="EN72" s="1"/>
      <c r="EO72" s="1"/>
      <c r="EP72" s="1"/>
      <c r="EQ72" s="1"/>
      <c r="ER72" s="1"/>
    </row>
    <row r="73" spans="2:148" ht="18" customHeight="1">
      <c r="B73" s="7"/>
      <c r="AP73" s="9"/>
      <c r="AR73" s="7"/>
      <c r="CF73" s="9"/>
      <c r="DY73" s="1"/>
      <c r="DZ73" s="1"/>
      <c r="EA73" s="1"/>
      <c r="ED73" s="1"/>
      <c r="EE73" s="1"/>
      <c r="EF73" s="1"/>
      <c r="EG73" s="1"/>
      <c r="EH73" s="1"/>
      <c r="EI73" s="1"/>
      <c r="EJ73" s="1"/>
      <c r="EK73" s="1"/>
      <c r="EL73" s="1"/>
      <c r="EM73" s="1"/>
      <c r="EN73" s="1"/>
      <c r="EO73" s="1"/>
      <c r="EP73" s="1"/>
      <c r="EQ73" s="1"/>
      <c r="ER73" s="1"/>
    </row>
    <row r="74" spans="2:148" ht="18" customHeight="1">
      <c r="B74" s="7"/>
      <c r="AP74" s="9"/>
      <c r="AR74" s="7"/>
      <c r="CF74" s="9"/>
      <c r="DY74" s="1"/>
      <c r="DZ74" s="1"/>
      <c r="EA74" s="1"/>
      <c r="ED74" s="1"/>
      <c r="EE74" s="1"/>
      <c r="EF74" s="1"/>
      <c r="EG74" s="1"/>
      <c r="EH74" s="1"/>
      <c r="EI74" s="1"/>
      <c r="EJ74" s="1"/>
      <c r="EK74" s="1"/>
      <c r="EL74" s="1"/>
      <c r="EM74" s="1"/>
      <c r="EN74" s="1"/>
      <c r="EO74" s="1"/>
      <c r="EP74" s="1"/>
      <c r="EQ74" s="1"/>
      <c r="ER74" s="1"/>
    </row>
    <row r="75" spans="2:148" ht="18" customHeight="1">
      <c r="B75" s="7"/>
      <c r="AP75" s="9"/>
      <c r="AR75" s="7"/>
      <c r="CF75" s="21"/>
      <c r="DY75" s="1"/>
      <c r="DZ75" s="1"/>
      <c r="EA75" s="1"/>
      <c r="ED75" s="1"/>
      <c r="EE75" s="1"/>
      <c r="EF75" s="1"/>
      <c r="EG75" s="1"/>
      <c r="EH75" s="1"/>
      <c r="EI75" s="1"/>
      <c r="EJ75" s="1"/>
      <c r="EK75" s="1"/>
      <c r="EL75" s="1"/>
      <c r="EM75" s="1"/>
      <c r="EN75" s="1"/>
      <c r="EO75" s="1"/>
      <c r="EP75" s="1"/>
      <c r="EQ75" s="1"/>
      <c r="ER75" s="1"/>
    </row>
    <row r="76" spans="2:148" ht="18" customHeight="1">
      <c r="B76" s="7"/>
      <c r="AP76" s="9"/>
      <c r="AR76" s="7"/>
      <c r="CF76" s="9"/>
      <c r="DY76" s="1"/>
      <c r="DZ76" s="1"/>
      <c r="EA76" s="1"/>
      <c r="ED76" s="1"/>
      <c r="EE76" s="1"/>
      <c r="EF76" s="1"/>
      <c r="EG76" s="1"/>
      <c r="EH76" s="1"/>
      <c r="EI76" s="1"/>
      <c r="EJ76" s="1"/>
      <c r="EK76" s="1"/>
      <c r="EL76" s="1"/>
      <c r="EM76" s="1"/>
      <c r="EN76" s="1"/>
      <c r="EO76" s="1"/>
      <c r="EP76" s="1"/>
      <c r="EQ76" s="1"/>
      <c r="ER76" s="1"/>
    </row>
    <row r="77" spans="2:148" ht="18" customHeight="1">
      <c r="B77" s="7"/>
      <c r="AP77" s="9"/>
      <c r="AR77" s="7"/>
      <c r="CF77" s="9"/>
      <c r="DY77" s="1"/>
      <c r="DZ77" s="1"/>
      <c r="EA77" s="1"/>
      <c r="ED77" s="1"/>
      <c r="EE77" s="1"/>
      <c r="EF77" s="1"/>
      <c r="EG77" s="1"/>
      <c r="EH77" s="1"/>
      <c r="EI77" s="1"/>
      <c r="EJ77" s="1"/>
      <c r="EK77" s="1"/>
      <c r="EL77" s="1"/>
      <c r="EM77" s="1"/>
      <c r="EN77" s="1"/>
      <c r="EO77" s="1"/>
      <c r="EP77" s="1"/>
      <c r="EQ77" s="1"/>
      <c r="ER77" s="1"/>
    </row>
    <row r="78" spans="2:148" ht="18" customHeight="1">
      <c r="B78" s="7"/>
      <c r="AP78" s="9"/>
      <c r="AR78" s="7"/>
      <c r="CF78" s="9"/>
      <c r="DY78" s="1"/>
      <c r="DZ78" s="1"/>
      <c r="EA78" s="1"/>
      <c r="ED78" s="1"/>
      <c r="EE78" s="1"/>
      <c r="EF78" s="1"/>
      <c r="EG78" s="1"/>
      <c r="EH78" s="1"/>
      <c r="EI78" s="1"/>
      <c r="EJ78" s="1"/>
      <c r="EK78" s="1"/>
      <c r="EL78" s="1"/>
      <c r="EM78" s="1"/>
      <c r="EN78" s="1"/>
      <c r="EO78" s="1"/>
      <c r="EP78" s="1"/>
      <c r="EQ78" s="1"/>
      <c r="ER78" s="1"/>
    </row>
    <row r="79" spans="2:148" ht="18" customHeight="1">
      <c r="B79" s="7"/>
      <c r="AP79" s="9"/>
      <c r="AR79" s="7"/>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9"/>
      <c r="DY79" s="1"/>
      <c r="DZ79" s="1"/>
      <c r="EA79" s="1"/>
      <c r="ED79" s="1"/>
      <c r="EE79" s="1"/>
      <c r="EF79" s="1"/>
      <c r="EG79" s="1"/>
      <c r="EH79" s="1"/>
      <c r="EI79" s="1"/>
      <c r="EJ79" s="1"/>
      <c r="EK79" s="1"/>
      <c r="EL79" s="1"/>
      <c r="EM79" s="1"/>
      <c r="EN79" s="1"/>
      <c r="EO79" s="1"/>
      <c r="EP79" s="1"/>
      <c r="EQ79" s="1"/>
      <c r="ER79" s="1"/>
    </row>
    <row r="80" spans="2:148" ht="18" customHeight="1">
      <c r="B80" s="7"/>
      <c r="AP80" s="9"/>
      <c r="AR80" s="7"/>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9"/>
      <c r="DY80" s="1"/>
      <c r="DZ80" s="1"/>
      <c r="EA80" s="1"/>
      <c r="ED80" s="1"/>
      <c r="EE80" s="1"/>
      <c r="EF80" s="1"/>
      <c r="EG80" s="1"/>
      <c r="EH80" s="1"/>
      <c r="EI80" s="1"/>
      <c r="EJ80" s="1"/>
      <c r="EK80" s="1"/>
      <c r="EL80" s="1"/>
      <c r="EM80" s="1"/>
      <c r="EN80" s="1"/>
      <c r="EO80" s="1"/>
      <c r="EP80" s="1"/>
      <c r="EQ80" s="1"/>
      <c r="ER80" s="1"/>
    </row>
    <row r="81" spans="2:148" ht="18" customHeight="1">
      <c r="B81" s="7"/>
      <c r="C81" s="17"/>
      <c r="AP81" s="9"/>
      <c r="AR81" s="7"/>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9"/>
      <c r="DY81" s="1"/>
      <c r="DZ81" s="1"/>
      <c r="EA81" s="1"/>
      <c r="ED81" s="1"/>
      <c r="EE81" s="1"/>
      <c r="EF81" s="1"/>
      <c r="EG81" s="1"/>
      <c r="EH81" s="1"/>
      <c r="EI81" s="1"/>
      <c r="EJ81" s="1"/>
      <c r="EK81" s="1"/>
      <c r="EL81" s="1"/>
      <c r="EM81" s="1"/>
      <c r="EN81" s="1"/>
      <c r="EO81" s="1"/>
      <c r="EP81" s="1"/>
      <c r="EQ81" s="1"/>
      <c r="ER81" s="1"/>
    </row>
    <row r="82" spans="2:148" ht="18" customHeight="1">
      <c r="B82" s="7"/>
      <c r="AP82" s="9"/>
      <c r="AR82" s="7"/>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9"/>
      <c r="DY82" s="1"/>
      <c r="DZ82" s="1"/>
      <c r="EA82" s="1"/>
      <c r="ED82" s="1"/>
      <c r="EE82" s="1"/>
      <c r="EF82" s="1"/>
      <c r="EG82" s="1"/>
      <c r="EH82" s="1"/>
      <c r="EI82" s="1"/>
      <c r="EJ82" s="1"/>
      <c r="EK82" s="1"/>
      <c r="EL82" s="1"/>
      <c r="EM82" s="1"/>
      <c r="EN82" s="1"/>
      <c r="EO82" s="1"/>
      <c r="EP82" s="1"/>
      <c r="EQ82" s="1"/>
      <c r="ER82" s="1"/>
    </row>
    <row r="83" spans="2:148" ht="18" customHeight="1">
      <c r="B83" s="7"/>
      <c r="AP83" s="9"/>
      <c r="AR83" s="7"/>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9"/>
      <c r="DY83" s="1"/>
      <c r="DZ83" s="1"/>
      <c r="EA83" s="1"/>
      <c r="ED83" s="1"/>
      <c r="EE83" s="1"/>
      <c r="EF83" s="1"/>
      <c r="EG83" s="1"/>
      <c r="EH83" s="1"/>
      <c r="EI83" s="1"/>
      <c r="EJ83" s="1"/>
      <c r="EK83" s="1"/>
      <c r="EL83" s="1"/>
      <c r="EM83" s="1"/>
      <c r="EN83" s="1"/>
      <c r="EO83" s="1"/>
      <c r="EP83" s="1"/>
      <c r="EQ83" s="1"/>
      <c r="ER83" s="1"/>
    </row>
    <row r="84" spans="2:148" ht="18" customHeight="1">
      <c r="B84" s="7"/>
      <c r="AP84" s="9"/>
      <c r="AR84" s="7"/>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9"/>
      <c r="DY84" s="1"/>
      <c r="DZ84" s="1"/>
      <c r="EA84" s="1"/>
      <c r="ED84" s="1"/>
      <c r="EE84" s="1"/>
      <c r="EF84" s="1"/>
      <c r="EG84" s="1"/>
      <c r="EH84" s="1"/>
      <c r="EI84" s="1"/>
      <c r="EJ84" s="1"/>
      <c r="EK84" s="1"/>
      <c r="EL84" s="1"/>
      <c r="EM84" s="1"/>
      <c r="EN84" s="1"/>
      <c r="EO84" s="1"/>
      <c r="EP84" s="1"/>
      <c r="EQ84" s="1"/>
      <c r="ER84" s="1"/>
    </row>
    <row r="85" spans="2:148" ht="18" customHeight="1">
      <c r="B85" s="7"/>
      <c r="AP85" s="9"/>
      <c r="AR85" s="7"/>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9"/>
      <c r="DY85" s="1"/>
      <c r="DZ85" s="1"/>
      <c r="EA85" s="1"/>
      <c r="ED85" s="1"/>
      <c r="EE85" s="1"/>
      <c r="EF85" s="1"/>
      <c r="EG85" s="1"/>
      <c r="EH85" s="1"/>
      <c r="EI85" s="1"/>
      <c r="EJ85" s="1"/>
      <c r="EK85" s="1"/>
      <c r="EL85" s="1"/>
      <c r="EM85" s="1"/>
      <c r="EN85" s="1"/>
      <c r="EO85" s="1"/>
      <c r="EP85" s="1"/>
      <c r="EQ85" s="1"/>
      <c r="ER85" s="1"/>
    </row>
    <row r="86" spans="2:148" ht="18" customHeight="1">
      <c r="B86" s="7"/>
      <c r="AP86" s="9"/>
      <c r="AR86" s="7"/>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9"/>
      <c r="DY86" s="1"/>
      <c r="DZ86" s="1"/>
      <c r="EA86" s="1"/>
      <c r="ED86" s="1"/>
      <c r="EE86" s="1"/>
      <c r="EF86" s="1"/>
      <c r="EG86" s="1"/>
      <c r="EH86" s="1"/>
      <c r="EI86" s="1"/>
      <c r="EJ86" s="1"/>
      <c r="EK86" s="1"/>
      <c r="EL86" s="1"/>
      <c r="EM86" s="1"/>
      <c r="EN86" s="1"/>
      <c r="EO86" s="1"/>
      <c r="EP86" s="1"/>
      <c r="EQ86" s="1"/>
      <c r="ER86" s="1"/>
    </row>
    <row r="87" spans="2:148" ht="18" customHeight="1">
      <c r="B87" s="7"/>
      <c r="AP87" s="9"/>
      <c r="AR87" s="7"/>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9"/>
      <c r="DY87" s="1"/>
      <c r="DZ87" s="1"/>
      <c r="EA87" s="1"/>
      <c r="ED87" s="1"/>
      <c r="EE87" s="1"/>
      <c r="EF87" s="1"/>
      <c r="EG87" s="1"/>
      <c r="EH87" s="1"/>
      <c r="EI87" s="1"/>
      <c r="EJ87" s="1"/>
      <c r="EK87" s="1"/>
      <c r="EL87" s="1"/>
      <c r="EM87" s="1"/>
      <c r="EN87" s="1"/>
      <c r="EO87" s="1"/>
      <c r="EP87" s="1"/>
      <c r="EQ87" s="1"/>
      <c r="ER87" s="1"/>
    </row>
    <row r="88" spans="2:148" ht="18" customHeight="1">
      <c r="B88" s="7"/>
      <c r="AP88" s="9"/>
      <c r="AR88" s="7"/>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9"/>
      <c r="DY88" s="1"/>
      <c r="DZ88" s="1"/>
      <c r="EA88" s="1"/>
      <c r="ED88" s="1"/>
      <c r="EE88" s="1"/>
      <c r="EF88" s="1"/>
      <c r="EG88" s="1"/>
      <c r="EH88" s="1"/>
      <c r="EI88" s="1"/>
      <c r="EJ88" s="1"/>
      <c r="EK88" s="1"/>
      <c r="EL88" s="1"/>
      <c r="EM88" s="1"/>
      <c r="EN88" s="1"/>
      <c r="EO88" s="1"/>
      <c r="EP88" s="1"/>
      <c r="EQ88" s="1"/>
      <c r="ER88" s="1"/>
    </row>
    <row r="89" spans="2:148" ht="18" customHeight="1">
      <c r="B89" s="7"/>
      <c r="AP89" s="9"/>
      <c r="AR89" s="7"/>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9"/>
      <c r="DY89" s="1"/>
      <c r="DZ89" s="1"/>
      <c r="EA89" s="1"/>
      <c r="ED89" s="1"/>
      <c r="EE89" s="1"/>
      <c r="EF89" s="1"/>
      <c r="EG89" s="1"/>
      <c r="EH89" s="1"/>
      <c r="EI89" s="1"/>
      <c r="EJ89" s="1"/>
      <c r="EK89" s="1"/>
      <c r="EL89" s="1"/>
      <c r="EM89" s="1"/>
      <c r="EN89" s="1"/>
      <c r="EO89" s="1"/>
      <c r="EP89" s="1"/>
      <c r="EQ89" s="1"/>
      <c r="ER89" s="1"/>
    </row>
    <row r="90" spans="2:148" ht="18" customHeight="1">
      <c r="B90" s="7"/>
      <c r="AP90" s="9"/>
      <c r="AR90" s="7"/>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9"/>
      <c r="DY90" s="1"/>
      <c r="DZ90" s="1"/>
      <c r="EA90" s="1"/>
      <c r="ED90" s="1"/>
      <c r="EE90" s="1"/>
      <c r="EF90" s="1"/>
      <c r="EG90" s="1"/>
      <c r="EH90" s="1"/>
      <c r="EI90" s="1"/>
      <c r="EJ90" s="1"/>
      <c r="EK90" s="1"/>
      <c r="EL90" s="1"/>
      <c r="EM90" s="1"/>
      <c r="EN90" s="1"/>
      <c r="EO90" s="1"/>
      <c r="EP90" s="1"/>
      <c r="EQ90" s="1"/>
      <c r="ER90" s="1"/>
    </row>
    <row r="91" spans="2:148" ht="18" customHeight="1">
      <c r="B91" s="7"/>
      <c r="AP91" s="9"/>
      <c r="AR91" s="7"/>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9"/>
      <c r="DY91" s="1"/>
      <c r="DZ91" s="1"/>
      <c r="EA91" s="1"/>
      <c r="ED91" s="1"/>
      <c r="EE91" s="1"/>
      <c r="EF91" s="1"/>
      <c r="EG91" s="1"/>
      <c r="EH91" s="1"/>
      <c r="EI91" s="1"/>
      <c r="EJ91" s="1"/>
      <c r="EK91" s="1"/>
      <c r="EL91" s="1"/>
      <c r="EM91" s="1"/>
      <c r="EN91" s="1"/>
      <c r="EO91" s="1"/>
      <c r="EP91" s="1"/>
      <c r="EQ91" s="1"/>
      <c r="ER91" s="1"/>
    </row>
    <row r="92" spans="2:148" ht="18" customHeight="1">
      <c r="B92" s="7"/>
      <c r="AP92" s="9"/>
      <c r="AR92" s="7"/>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9"/>
      <c r="DY92" s="1"/>
      <c r="DZ92" s="1"/>
      <c r="EA92" s="1"/>
      <c r="ED92" s="1"/>
      <c r="EE92" s="1"/>
      <c r="EF92" s="1"/>
      <c r="EG92" s="1"/>
      <c r="EH92" s="1"/>
      <c r="EI92" s="1"/>
      <c r="EJ92" s="1"/>
      <c r="EK92" s="1"/>
      <c r="EL92" s="1"/>
      <c r="EM92" s="1"/>
      <c r="EN92" s="1"/>
      <c r="EO92" s="1"/>
      <c r="EP92" s="1"/>
      <c r="EQ92" s="1"/>
      <c r="ER92" s="1"/>
    </row>
    <row r="93" spans="2:148" ht="18" customHeight="1">
      <c r="B93" s="7"/>
      <c r="AP93" s="9"/>
      <c r="AR93" s="7"/>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9"/>
      <c r="DY93" s="1"/>
      <c r="DZ93" s="1"/>
      <c r="EA93" s="1"/>
      <c r="ED93" s="1"/>
      <c r="EE93" s="1"/>
      <c r="EF93" s="1"/>
      <c r="EG93" s="1"/>
      <c r="EH93" s="1"/>
      <c r="EI93" s="1"/>
      <c r="EJ93" s="1"/>
      <c r="EK93" s="1"/>
      <c r="EL93" s="1"/>
      <c r="EM93" s="1"/>
      <c r="EN93" s="1"/>
      <c r="EO93" s="1"/>
      <c r="EP93" s="1"/>
      <c r="EQ93" s="1"/>
      <c r="ER93" s="1"/>
    </row>
    <row r="94" spans="2:148" ht="18" customHeight="1">
      <c r="B94" s="7"/>
      <c r="AP94" s="9"/>
      <c r="AR94" s="7"/>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9"/>
      <c r="DY94" s="1"/>
      <c r="DZ94" s="1"/>
      <c r="EA94" s="1"/>
      <c r="ED94" s="1"/>
      <c r="EE94" s="1"/>
      <c r="EF94" s="1"/>
      <c r="EG94" s="1"/>
      <c r="EH94" s="1"/>
      <c r="EI94" s="1"/>
      <c r="EJ94" s="1"/>
      <c r="EK94" s="1"/>
      <c r="EL94" s="1"/>
      <c r="EM94" s="1"/>
      <c r="EN94" s="1"/>
      <c r="EO94" s="1"/>
      <c r="EP94" s="1"/>
      <c r="EQ94" s="1"/>
      <c r="ER94" s="1"/>
    </row>
    <row r="95" spans="2:148" ht="18" customHeight="1">
      <c r="B95" s="7"/>
      <c r="AP95" s="9"/>
      <c r="AR95" s="7"/>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9"/>
      <c r="DY95" s="1"/>
      <c r="DZ95" s="1"/>
      <c r="EA95" s="1"/>
      <c r="ED95" s="1"/>
      <c r="EE95" s="1"/>
      <c r="EF95" s="1"/>
      <c r="EG95" s="1"/>
      <c r="EH95" s="1"/>
      <c r="EI95" s="1"/>
      <c r="EJ95" s="1"/>
      <c r="EK95" s="1"/>
      <c r="EL95" s="1"/>
      <c r="EM95" s="1"/>
      <c r="EN95" s="1"/>
      <c r="EO95" s="1"/>
      <c r="EP95" s="1"/>
      <c r="EQ95" s="1"/>
      <c r="ER95" s="1"/>
    </row>
    <row r="96" spans="2:148" ht="18" customHeight="1" thickBot="1">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c r="DY96" s="1"/>
      <c r="DZ96" s="1"/>
      <c r="EA96" s="1"/>
      <c r="ED96" s="1"/>
      <c r="EE96" s="1"/>
      <c r="EF96" s="1"/>
      <c r="EG96" s="1"/>
      <c r="EH96" s="1"/>
      <c r="EI96" s="1"/>
      <c r="EJ96" s="1"/>
      <c r="EK96" s="1"/>
      <c r="EL96" s="1"/>
      <c r="EM96" s="1"/>
      <c r="EN96" s="1"/>
      <c r="EO96" s="1"/>
      <c r="EP96" s="1"/>
      <c r="EQ96" s="1"/>
      <c r="ER96" s="1"/>
    </row>
    <row r="97" spans="2:148" ht="18" customHeight="1">
      <c r="B97" s="7"/>
      <c r="D97" s="26" t="s">
        <v>4</v>
      </c>
      <c r="AO97" s="15" t="s">
        <v>6</v>
      </c>
      <c r="AP97" s="9"/>
      <c r="AR97" s="7"/>
      <c r="AT97" s="26" t="s">
        <v>4</v>
      </c>
      <c r="CE97" s="15" t="s">
        <v>7</v>
      </c>
      <c r="CF97" s="9"/>
      <c r="DY97" s="1"/>
      <c r="DZ97" s="1"/>
      <c r="EA97" s="1"/>
      <c r="ED97" s="1"/>
      <c r="EE97" s="1"/>
      <c r="EF97" s="1"/>
      <c r="EG97" s="1"/>
      <c r="EH97" s="1"/>
      <c r="EI97" s="1"/>
      <c r="EJ97" s="1"/>
      <c r="EK97" s="1"/>
      <c r="EL97" s="1"/>
      <c r="EM97" s="1"/>
      <c r="EN97" s="1"/>
      <c r="EO97" s="1"/>
      <c r="EP97" s="1"/>
      <c r="EQ97" s="1"/>
      <c r="ER97" s="1"/>
    </row>
    <row r="98" spans="2:148" ht="18" customHeight="1">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AR98" s="27"/>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9"/>
      <c r="DY98" s="1"/>
      <c r="DZ98" s="1"/>
      <c r="EA98" s="1"/>
      <c r="ED98" s="1"/>
      <c r="EE98" s="1"/>
      <c r="EF98" s="1"/>
      <c r="EG98" s="1"/>
      <c r="EH98" s="1"/>
      <c r="EI98" s="1"/>
      <c r="EJ98" s="1"/>
      <c r="EK98" s="1"/>
      <c r="EL98" s="1"/>
      <c r="EM98" s="1"/>
      <c r="EN98" s="1"/>
      <c r="EO98" s="1"/>
      <c r="EP98" s="1"/>
      <c r="EQ98" s="1"/>
      <c r="ER98" s="1"/>
    </row>
    <row r="99" spans="2:148" ht="18" customHeight="1">
      <c r="DY99" s="1"/>
      <c r="DZ99" s="1"/>
      <c r="EA99" s="1"/>
      <c r="ED99" s="1"/>
      <c r="EE99" s="1"/>
      <c r="EF99" s="1"/>
      <c r="EG99" s="1"/>
      <c r="EH99" s="1"/>
      <c r="EI99" s="1"/>
      <c r="EJ99" s="1"/>
      <c r="EK99" s="1"/>
      <c r="EL99" s="1"/>
      <c r="EM99" s="1"/>
      <c r="EN99" s="1"/>
      <c r="EO99" s="1"/>
      <c r="EP99" s="1"/>
      <c r="EQ99" s="1"/>
      <c r="ER99" s="1"/>
    </row>
    <row r="100" spans="2:148" ht="18" customHeight="1">
      <c r="DY100" s="1"/>
      <c r="DZ100" s="1"/>
      <c r="EA100" s="1"/>
      <c r="ED100" s="1"/>
      <c r="EE100" s="1"/>
      <c r="EF100" s="1"/>
      <c r="EG100" s="1"/>
      <c r="EH100" s="1"/>
      <c r="EI100" s="1"/>
      <c r="EJ100" s="1"/>
      <c r="EK100" s="1"/>
      <c r="EL100" s="1"/>
      <c r="EM100" s="1"/>
      <c r="EN100" s="1"/>
      <c r="EO100" s="1"/>
      <c r="EP100" s="1"/>
      <c r="EQ100" s="1"/>
      <c r="ER100" s="1"/>
    </row>
    <row r="101" spans="2:148" ht="18" customHeight="1">
      <c r="DY101" s="1"/>
      <c r="DZ101" s="1"/>
      <c r="EA101" s="1"/>
      <c r="ED101" s="1"/>
      <c r="EE101" s="1"/>
      <c r="EF101" s="1"/>
      <c r="EG101" s="1"/>
      <c r="EH101" s="1"/>
      <c r="EI101" s="1"/>
      <c r="EJ101" s="1"/>
      <c r="EK101" s="1"/>
      <c r="EL101" s="1"/>
      <c r="EM101" s="1"/>
      <c r="EN101" s="1"/>
      <c r="EO101" s="1"/>
      <c r="EP101" s="1"/>
      <c r="EQ101" s="1"/>
      <c r="ER101" s="1"/>
    </row>
    <row r="102" spans="2:148" ht="18" customHeight="1">
      <c r="DY102" s="1"/>
      <c r="DZ102" s="1"/>
      <c r="EA102" s="1"/>
      <c r="ED102" s="1"/>
      <c r="EE102" s="1"/>
      <c r="EF102" s="1"/>
      <c r="EG102" s="1"/>
      <c r="EH102" s="1"/>
      <c r="EI102" s="1"/>
      <c r="EJ102" s="1"/>
      <c r="EK102" s="1"/>
      <c r="EL102" s="1"/>
      <c r="EM102" s="1"/>
      <c r="EN102" s="1"/>
      <c r="EO102" s="1"/>
      <c r="EP102" s="1"/>
      <c r="EQ102" s="1"/>
      <c r="ER102" s="1"/>
    </row>
    <row r="103" spans="2:148" ht="18" customHeight="1">
      <c r="DY103" s="1"/>
      <c r="DZ103" s="1"/>
      <c r="EA103" s="1"/>
      <c r="ED103" s="1"/>
      <c r="EE103" s="1"/>
      <c r="EF103" s="1"/>
      <c r="EG103" s="1"/>
      <c r="EH103" s="1"/>
      <c r="EI103" s="1"/>
      <c r="EJ103" s="1"/>
      <c r="EK103" s="1"/>
      <c r="EL103" s="1"/>
      <c r="EM103" s="1"/>
      <c r="EN103" s="1"/>
      <c r="EO103" s="1"/>
      <c r="EP103" s="1"/>
      <c r="EQ103" s="1"/>
      <c r="ER103" s="1"/>
    </row>
    <row r="104" spans="2:148" ht="18" customHeight="1">
      <c r="DY104" s="1"/>
      <c r="DZ104" s="1"/>
      <c r="EA104" s="1"/>
      <c r="ED104" s="1"/>
      <c r="EE104" s="1"/>
      <c r="EF104" s="1"/>
      <c r="EG104" s="1"/>
      <c r="EH104" s="1"/>
      <c r="EI104" s="1"/>
      <c r="EJ104" s="1"/>
      <c r="EK104" s="1"/>
      <c r="EL104" s="1"/>
      <c r="EM104" s="1"/>
      <c r="EN104" s="1"/>
      <c r="EO104" s="1"/>
      <c r="EP104" s="1"/>
      <c r="EQ104" s="1"/>
      <c r="ER104" s="1"/>
    </row>
    <row r="105" spans="2:148" ht="18" customHeight="1">
      <c r="DY105" s="1"/>
      <c r="DZ105" s="1"/>
      <c r="EA105" s="1"/>
      <c r="ED105" s="1"/>
      <c r="EE105" s="1"/>
      <c r="EF105" s="1"/>
      <c r="EG105" s="1"/>
      <c r="EH105" s="1"/>
      <c r="EI105" s="1"/>
      <c r="EJ105" s="1"/>
      <c r="EK105" s="1"/>
      <c r="EL105" s="1"/>
      <c r="EM105" s="1"/>
      <c r="EN105" s="1"/>
      <c r="EO105" s="1"/>
      <c r="EP105" s="1"/>
      <c r="EQ105" s="1"/>
      <c r="ER105" s="1"/>
    </row>
    <row r="106" spans="2:148" ht="18" customHeight="1">
      <c r="DY106" s="1"/>
      <c r="DZ106" s="1"/>
      <c r="EA106" s="1"/>
      <c r="ED106" s="1"/>
      <c r="EE106" s="1"/>
      <c r="EF106" s="1"/>
      <c r="EG106" s="1"/>
      <c r="EH106" s="1"/>
      <c r="EI106" s="1"/>
      <c r="EJ106" s="1"/>
      <c r="EK106" s="1"/>
      <c r="EL106" s="1"/>
      <c r="EM106" s="1"/>
      <c r="EN106" s="1"/>
      <c r="EO106" s="1"/>
      <c r="EP106" s="1"/>
      <c r="EQ106" s="1"/>
      <c r="ER106" s="1"/>
    </row>
    <row r="107" spans="2:148" ht="18" customHeight="1">
      <c r="DY107" s="1"/>
      <c r="DZ107" s="1"/>
      <c r="EA107" s="1"/>
      <c r="ED107" s="1"/>
      <c r="EE107" s="1"/>
      <c r="EF107" s="1"/>
      <c r="EG107" s="1"/>
      <c r="EH107" s="1"/>
      <c r="EI107" s="1"/>
      <c r="EJ107" s="1"/>
      <c r="EK107" s="1"/>
      <c r="EL107" s="1"/>
      <c r="EM107" s="1"/>
      <c r="EN107" s="1"/>
      <c r="EO107" s="1"/>
      <c r="EP107" s="1"/>
      <c r="EQ107" s="1"/>
      <c r="ER107" s="1"/>
    </row>
    <row r="108" spans="2:148" ht="18" customHeight="1">
      <c r="DY108" s="1"/>
      <c r="DZ108" s="1"/>
      <c r="EA108" s="1"/>
      <c r="ED108" s="1"/>
      <c r="EE108" s="1"/>
      <c r="EF108" s="1"/>
      <c r="EG108" s="1"/>
      <c r="EH108" s="1"/>
      <c r="EI108" s="1"/>
      <c r="EJ108" s="1"/>
      <c r="EK108" s="1"/>
      <c r="EL108" s="1"/>
      <c r="EM108" s="1"/>
      <c r="EN108" s="1"/>
      <c r="EO108" s="1"/>
      <c r="EP108" s="1"/>
      <c r="EQ108" s="1"/>
      <c r="ER108" s="1"/>
    </row>
    <row r="109" spans="2:148" ht="18" customHeight="1">
      <c r="DY109" s="1"/>
      <c r="DZ109" s="1"/>
      <c r="EA109" s="1"/>
      <c r="ED109" s="1"/>
      <c r="EE109" s="1"/>
      <c r="EF109" s="1"/>
      <c r="EG109" s="1"/>
      <c r="EH109" s="1"/>
      <c r="EI109" s="1"/>
      <c r="EJ109" s="1"/>
      <c r="EK109" s="1"/>
      <c r="EL109" s="1"/>
      <c r="EM109" s="1"/>
      <c r="EN109" s="1"/>
      <c r="EO109" s="1"/>
      <c r="EP109" s="1"/>
      <c r="EQ109" s="1"/>
      <c r="ER109" s="1"/>
    </row>
    <row r="110" spans="2:148" ht="18" customHeight="1">
      <c r="DY110" s="1"/>
      <c r="DZ110" s="1"/>
      <c r="EA110" s="1"/>
      <c r="ED110" s="1"/>
      <c r="EE110" s="1"/>
      <c r="EF110" s="1"/>
      <c r="EG110" s="1"/>
      <c r="EH110" s="1"/>
      <c r="EI110" s="1"/>
      <c r="EJ110" s="1"/>
      <c r="EK110" s="1"/>
      <c r="EL110" s="1"/>
      <c r="EM110" s="1"/>
      <c r="EN110" s="1"/>
      <c r="EO110" s="1"/>
      <c r="EP110" s="1"/>
      <c r="EQ110" s="1"/>
      <c r="ER110" s="1"/>
    </row>
    <row r="111" spans="2:148" ht="18" customHeight="1">
      <c r="DY111" s="1"/>
      <c r="DZ111" s="1"/>
      <c r="EA111" s="1"/>
      <c r="ED111" s="1"/>
      <c r="EE111" s="1"/>
      <c r="EF111" s="1"/>
      <c r="EG111" s="1"/>
      <c r="EH111" s="1"/>
      <c r="EI111" s="1"/>
      <c r="EJ111" s="1"/>
      <c r="EK111" s="1"/>
      <c r="EL111" s="1"/>
      <c r="EM111" s="1"/>
      <c r="EN111" s="1"/>
      <c r="EO111" s="1"/>
      <c r="EP111" s="1"/>
      <c r="EQ111" s="1"/>
      <c r="ER111" s="1"/>
    </row>
    <row r="112" spans="2:148" ht="18" customHeight="1">
      <c r="DY112" s="1"/>
      <c r="DZ112" s="1"/>
      <c r="EA112" s="1"/>
      <c r="ED112" s="1"/>
      <c r="EE112" s="1"/>
      <c r="EF112" s="1"/>
      <c r="EG112" s="1"/>
      <c r="EH112" s="1"/>
      <c r="EI112" s="1"/>
      <c r="EJ112" s="1"/>
      <c r="EK112" s="1"/>
      <c r="EL112" s="1"/>
      <c r="EM112" s="1"/>
      <c r="EN112" s="1"/>
      <c r="EO112" s="1"/>
      <c r="EP112" s="1"/>
      <c r="EQ112" s="1"/>
      <c r="ER112" s="1"/>
    </row>
    <row r="113" s="1" customFormat="1" ht="18" customHeight="1"/>
    <row r="114" s="1" customFormat="1" ht="18" customHeight="1"/>
    <row r="115" s="1" customFormat="1" ht="18" customHeight="1"/>
    <row r="116" s="1" customFormat="1" ht="18" customHeight="1"/>
    <row r="117" s="1" customFormat="1" ht="18" customHeight="1"/>
    <row r="118" s="1" customFormat="1" ht="18" customHeight="1"/>
    <row r="119" s="1" customFormat="1" ht="18" customHeight="1"/>
    <row r="120" s="1" customFormat="1" ht="18" customHeight="1"/>
    <row r="121" s="1" customFormat="1" ht="18" customHeight="1"/>
    <row r="122" s="1" customFormat="1" ht="18" customHeight="1"/>
    <row r="123" s="1" customFormat="1" ht="18" customHeight="1"/>
    <row r="124" s="1" customFormat="1" ht="18" customHeight="1"/>
    <row r="125" s="1" customFormat="1" ht="18" customHeight="1"/>
    <row r="126" s="1" customFormat="1" ht="18" customHeight="1"/>
    <row r="127" s="1" customFormat="1" ht="18" customHeight="1"/>
    <row r="128" s="1" customFormat="1" ht="18" customHeight="1"/>
    <row r="129" s="1" customFormat="1" ht="18" customHeight="1"/>
    <row r="130" s="1" customFormat="1" ht="18" customHeight="1"/>
    <row r="131" s="1" customFormat="1" ht="18" customHeight="1"/>
    <row r="132" s="1" customFormat="1" ht="18" customHeight="1"/>
    <row r="133" s="1" customFormat="1" ht="18" customHeight="1"/>
    <row r="134" s="1" customFormat="1" ht="18" customHeight="1"/>
    <row r="135" s="1" customFormat="1" ht="18" customHeight="1"/>
    <row r="136" s="1" customFormat="1" ht="18" customHeight="1"/>
    <row r="137" s="1" customFormat="1" ht="18" customHeight="1"/>
    <row r="138" s="1" customFormat="1" ht="18" customHeight="1"/>
    <row r="139" s="1" customFormat="1" ht="18" customHeight="1"/>
    <row r="140" s="1" customFormat="1" ht="18" customHeight="1"/>
    <row r="141" s="1" customFormat="1" ht="18" customHeight="1"/>
    <row r="142" s="1" customFormat="1" ht="18" customHeight="1"/>
    <row r="143" s="1" customFormat="1" ht="18" customHeight="1"/>
    <row r="144" s="1" customFormat="1" ht="18" customHeight="1"/>
    <row r="145" s="1" customFormat="1" ht="18" customHeight="1"/>
    <row r="146" s="1" customFormat="1" ht="18" customHeight="1"/>
    <row r="147" s="1" customFormat="1" ht="18" customHeight="1"/>
    <row r="148" s="1" customFormat="1" ht="18" customHeight="1"/>
    <row r="149" s="1" customFormat="1" ht="18" customHeight="1"/>
    <row r="150" s="1" customFormat="1" ht="18" customHeight="1"/>
    <row r="151" s="1" customFormat="1" ht="18" customHeight="1"/>
    <row r="152" s="1" customFormat="1" ht="18" customHeight="1"/>
    <row r="153" s="1" customFormat="1" ht="18" customHeight="1"/>
    <row r="154" s="1" customFormat="1" ht="18" customHeight="1"/>
    <row r="155" s="1" customFormat="1" ht="18" customHeight="1"/>
    <row r="156" s="1" customFormat="1" ht="18" customHeight="1"/>
    <row r="157" s="1" customFormat="1" ht="18" customHeight="1"/>
    <row r="158" s="1" customFormat="1" ht="18" customHeight="1"/>
    <row r="159" s="1" customFormat="1" ht="18" customHeight="1"/>
    <row r="160" s="1" customFormat="1" ht="18" customHeight="1"/>
    <row r="161" s="1" customFormat="1" ht="18" customHeight="1"/>
    <row r="162" s="1" customFormat="1" ht="18" customHeight="1"/>
    <row r="163" s="1" customFormat="1" ht="18" customHeight="1"/>
    <row r="164" s="1" customFormat="1" ht="18" customHeight="1"/>
    <row r="165" s="1" customFormat="1" ht="18" customHeight="1"/>
    <row r="166" s="1" customFormat="1" ht="18" customHeight="1"/>
    <row r="167" s="1" customFormat="1" ht="18" customHeight="1"/>
    <row r="168" s="1" customFormat="1" ht="18" customHeight="1"/>
    <row r="169" s="1" customFormat="1" ht="18" customHeight="1"/>
    <row r="170" s="1" customFormat="1" ht="18" customHeight="1"/>
    <row r="171" s="1" customFormat="1" ht="18" customHeight="1"/>
    <row r="172" s="1" customFormat="1" ht="18" customHeight="1"/>
    <row r="173" s="1" customFormat="1" ht="18" customHeight="1"/>
    <row r="174" s="1" customFormat="1" ht="18" customHeight="1"/>
    <row r="175" s="1" customFormat="1" ht="18" customHeight="1"/>
    <row r="176" s="1" customFormat="1" ht="18" customHeight="1"/>
    <row r="177" s="1" customFormat="1" ht="18" customHeight="1"/>
    <row r="178" s="1" customFormat="1" ht="18" customHeight="1"/>
    <row r="179" s="1" customFormat="1" ht="18" customHeight="1"/>
    <row r="180" s="1" customFormat="1" ht="18" customHeight="1"/>
    <row r="181" s="1" customFormat="1" ht="18" customHeight="1"/>
    <row r="182" s="1" customFormat="1" ht="18" customHeight="1"/>
    <row r="183" s="1" customFormat="1" ht="18" customHeight="1"/>
    <row r="184" s="1" customFormat="1" ht="18" customHeight="1"/>
    <row r="185" s="1" customFormat="1" ht="18" customHeight="1"/>
    <row r="186" s="1" customFormat="1" ht="18" customHeight="1"/>
    <row r="187" s="1" customFormat="1" ht="18" customHeight="1"/>
    <row r="188" s="1" customFormat="1" ht="18" customHeight="1"/>
    <row r="189" s="1" customFormat="1" ht="18" customHeight="1"/>
    <row r="190" s="1" customFormat="1" ht="18" customHeight="1"/>
    <row r="191" s="1" customFormat="1" ht="18" customHeight="1"/>
    <row r="192" s="1" customFormat="1" ht="18" customHeight="1"/>
    <row r="193" s="1" customFormat="1" ht="18" customHeight="1"/>
    <row r="194" s="1" customFormat="1" ht="18" customHeight="1"/>
    <row r="195" s="1" customFormat="1" ht="18" customHeight="1"/>
    <row r="196" s="1" customFormat="1" ht="18" customHeight="1"/>
    <row r="197" s="1" customFormat="1" ht="18" customHeight="1"/>
    <row r="198" s="1" customFormat="1" ht="18" customHeigh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305" ht="18.75" customHeight="1"/>
  </sheetData>
  <sheetProtection algorithmName="SHA-512" hashValue="zTQJZDQVA+3aFw9Zn+eWashlp3tuNKpqZk2ziGGhbAMbfQekNO1NWgbMYOhUaVPgtwxR/hmKBZcewLnspIr+5Q==" saltValue="M43izc9btt8xD+MELBAc5g==" spinCount="100000" sheet="1" objects="1" scenarios="1"/>
  <mergeCells count="27">
    <mergeCell ref="HC35:IO35"/>
    <mergeCell ref="HS36:HU36"/>
    <mergeCell ref="HO37:HQ37"/>
    <mergeCell ref="IJ37:IL37"/>
    <mergeCell ref="HO38:HQ38"/>
    <mergeCell ref="IJ38:IL38"/>
    <mergeCell ref="II42:IM42"/>
    <mergeCell ref="II43:IM43"/>
    <mergeCell ref="II44:IM44"/>
    <mergeCell ref="II45:IM45"/>
    <mergeCell ref="II46:IM46"/>
    <mergeCell ref="HL60:HY60"/>
    <mergeCell ref="HZ60:IC60"/>
    <mergeCell ref="C8:AO10"/>
    <mergeCell ref="II53:IM53"/>
    <mergeCell ref="II54:IM54"/>
    <mergeCell ref="II55:IM55"/>
    <mergeCell ref="II56:IM56"/>
    <mergeCell ref="II57:IM57"/>
    <mergeCell ref="II58:IM58"/>
    <mergeCell ref="II47:IM47"/>
    <mergeCell ref="II48:IM48"/>
    <mergeCell ref="II49:IM49"/>
    <mergeCell ref="II50:IM50"/>
    <mergeCell ref="II51:IM51"/>
    <mergeCell ref="II52:IM52"/>
    <mergeCell ref="II40:IM41"/>
  </mergeCell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85670-05CE-4A4C-94C0-9EECD71AAD5B}">
  <sheetPr>
    <pageSetUpPr fitToPage="1"/>
  </sheetPr>
  <dimension ref="A1"/>
  <sheetViews>
    <sheetView workbookViewId="0">
      <selection activeCell="Y18" sqref="Y18"/>
    </sheetView>
  </sheetViews>
  <sheetFormatPr defaultRowHeight="15"/>
  <sheetData/>
  <sheetProtection algorithmName="SHA-512" hashValue="ATtyyQMNJQri6A4Q9gzObaCmkG/8kCY7V876tNxhDUksWJx6jzDVM5ZPnv0H76sSwAfqgFDwDSZK98RC8Xj0+g==" saltValue="LLem61HmzROkkEn0y5GEfg==" spinCount="100000" sheet="1" objects="1" scenarios="1"/>
  <pageMargins left="0.7" right="0.7" top="0.75" bottom="0.75" header="0.3" footer="0.3"/>
  <pageSetup scale="43" fitToHeight="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35AD8-AF6B-40F5-AF61-3E03BA142A76}">
  <sheetPr>
    <pageSetUpPr fitToPage="1"/>
  </sheetPr>
  <dimension ref="A1"/>
  <sheetViews>
    <sheetView workbookViewId="0">
      <selection activeCell="X25" sqref="X25"/>
    </sheetView>
  </sheetViews>
  <sheetFormatPr defaultRowHeight="15"/>
  <sheetData/>
  <sheetProtection algorithmName="SHA-512" hashValue="FoADRKuvdgEuPcFbwHPf1286jcArqiFcmjIWHfo9ztEoFBoQsR0B03usmZoh/IqUbCVpvaxxPS3NZ1UKXydRdA==" saltValue="9hKyUEvN6SIBA12U0t42zg==" spinCount="100000" sheet="1" objects="1" scenarios="1"/>
  <pageMargins left="0.7" right="0.7" top="0.75" bottom="0.75" header="0.3" footer="0.3"/>
  <pageSetup scale="43" fitToHeight="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1B22B-9640-4D54-9922-7DA417B714B1}">
  <sheetPr>
    <pageSetUpPr fitToPage="1"/>
  </sheetPr>
  <dimension ref="A1"/>
  <sheetViews>
    <sheetView workbookViewId="0">
      <selection activeCell="P34" sqref="P34"/>
    </sheetView>
  </sheetViews>
  <sheetFormatPr defaultRowHeight="15"/>
  <sheetData/>
  <sheetProtection algorithmName="SHA-512" hashValue="ODJ7Qkogjw5YiOj0ZtjA+X43YawmxljXRIGxztX0DpYQAr9I5A4NodsoA1JReNJIDhiUd8n1AvvrWRWE851i6A==" saltValue="KFX8TjUesLNg0Xzw31CPyg==" spinCount="100000" sheet="1" objects="1" scenarios="1"/>
  <pageMargins left="0.7" right="0.7" top="0.75" bottom="0.75" header="0.3" footer="0.3"/>
  <pageSetup scale="6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30C9-C2E1-420F-AD1E-1065D2D6A92E}">
  <sheetPr>
    <pageSetUpPr fitToPage="1"/>
  </sheetPr>
  <dimension ref="A1"/>
  <sheetViews>
    <sheetView workbookViewId="0">
      <selection activeCell="CO15" sqref="CO15"/>
    </sheetView>
  </sheetViews>
  <sheetFormatPr defaultRowHeight="15"/>
  <sheetData/>
  <sheetProtection algorithmName="SHA-512" hashValue="wj2C3hAKXFOQ2xlIgA7SsmnRuu4nXU6v5vGJK+ltaHRhK5hLZR81hSIQcvT39Llb430WHgKDlq4X2FW4CGxKVA==" saltValue="46divW3stORfsVbjTzIdnQ==" spinCount="100000" sheet="1" objects="1" scenarios="1"/>
  <pageMargins left="0.7" right="0.7" top="0.75" bottom="0.75" header="0.3" footer="0.3"/>
  <pageSetup scale="5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4B32F-8513-42DD-8F79-6704AC834466}">
  <dimension ref="A1"/>
  <sheetViews>
    <sheetView workbookViewId="0">
      <selection activeCell="A49" sqref="A1:XFD1048576"/>
    </sheetView>
  </sheetViews>
  <sheetFormatPr defaultRowHeight="15"/>
  <sheetData/>
  <sheetProtection algorithmName="SHA-512" hashValue="jL80bR/eogShLXOIyxnPP6zjuv9nZ9dd6xWq9z32J5xhrssJaVCHYaR0DgD0nS5vLnOzPDrpFRb5DuyJkBYKCA==" saltValue="iSXwtUBf6gaObJ5TYTJMBA==" spinCount="100000" sheet="1" objects="1" scenarios="1"/>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5174F-DC3D-4994-BB32-8C80345E043B}">
  <dimension ref="A1"/>
  <sheetViews>
    <sheetView workbookViewId="0">
      <selection activeCell="L25" sqref="L25"/>
    </sheetView>
  </sheetViews>
  <sheetFormatPr defaultRowHeight="15"/>
  <sheetData/>
  <sheetProtection algorithmName="SHA-512" hashValue="ZeQ+p7Q3zVXLAjNR7TOa61870BMi0fHD/gjU8zXq26SJD9ysNiR2ANoBAwCrUU845UH55SzaMbc359xa40PDRg==" saltValue="wiNUug5aVTYX0l30911Nx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733c3ee-3ed4-4876-80d1-ffc06c69238d" xsi:nil="true"/>
    <lcf76f155ced4ddcb4097134ff3c332f xmlns="f06edbc9-4a38-4633-ac57-12812ade00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39AD2BD9EF5744A93D330800BBA098" ma:contentTypeVersion="12" ma:contentTypeDescription="Create a new document." ma:contentTypeScope="" ma:versionID="53c6a75c1dc2e3e96ac04e6d146483af">
  <xsd:schema xmlns:xsd="http://www.w3.org/2001/XMLSchema" xmlns:xs="http://www.w3.org/2001/XMLSchema" xmlns:p="http://schemas.microsoft.com/office/2006/metadata/properties" xmlns:ns2="f06edbc9-4a38-4633-ac57-12812ade00da" xmlns:ns3="5733c3ee-3ed4-4876-80d1-ffc06c69238d" targetNamespace="http://schemas.microsoft.com/office/2006/metadata/properties" ma:root="true" ma:fieldsID="3e06dbbfe3e4aaeee4bddc3101a9e35d" ns2:_="" ns3:_="">
    <xsd:import namespace="f06edbc9-4a38-4633-ac57-12812ade00da"/>
    <xsd:import namespace="5733c3ee-3ed4-4876-80d1-ffc06c6923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edbc9-4a38-4633-ac57-12812ade00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a1eb04f-e05f-4397-87ae-cd0659b49bd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33c3ee-3ed4-4876-80d1-ffc06c69238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4d54e4-43ca-4912-830a-8b9c716c240c}" ma:internalName="TaxCatchAll" ma:showField="CatchAllData" ma:web="5733c3ee-3ed4-4876-80d1-ffc06c6923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DB0BE8-6C47-4B58-86A9-9CF74C9EEC54}">
  <ds:schemaRefs>
    <ds:schemaRef ds:uri="http://www.w3.org/XML/1998/namespace"/>
    <ds:schemaRef ds:uri="http://purl.org/dc/elements/1.1/"/>
    <ds:schemaRef ds:uri="http://purl.org/dc/dcmitype/"/>
    <ds:schemaRef ds:uri="http://purl.org/dc/terms/"/>
    <ds:schemaRef ds:uri="http://schemas.microsoft.com/office/2006/documentManagement/types"/>
    <ds:schemaRef ds:uri="http://schemas.microsoft.com/office/2006/metadata/properties"/>
    <ds:schemaRef ds:uri="5733c3ee-3ed4-4876-80d1-ffc06c69238d"/>
    <ds:schemaRef ds:uri="f06edbc9-4a38-4633-ac57-12812ade00da"/>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C707F460-C95B-4F27-AFA3-46217BE4946F}"/>
</file>

<file path=customXml/itemProps3.xml><?xml version="1.0" encoding="utf-8"?>
<ds:datastoreItem xmlns:ds="http://schemas.openxmlformats.org/officeDocument/2006/customXml" ds:itemID="{E982AD15-4212-4009-866A-5ED672E8A2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Technical Overview</vt:lpstr>
      <vt:lpstr>Calculation Tool</vt:lpstr>
      <vt:lpstr>Lead Length</vt:lpstr>
      <vt:lpstr>IEEE Rated Surge Arresters</vt:lpstr>
      <vt:lpstr>IEC Rated Surge Arresters</vt:lpstr>
      <vt:lpstr>IEEE C37.010-2016</vt:lpstr>
      <vt:lpstr>IEEE C37.20.3 ACF Factors</vt:lpstr>
      <vt:lpstr>IEEE C37.20.2 ACF Factors</vt:lpstr>
      <vt:lpstr>IEC 60694</vt:lpstr>
      <vt:lpstr>'Calculation Tool'!Print_Area</vt:lpstr>
      <vt:lpstr>'Lead Length'!Print_Area</vt:lpstr>
      <vt:lpstr>'Technical Overview'!Print_Area</vt:lpstr>
    </vt:vector>
  </TitlesOfParts>
  <Company>VarStec Power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VarStec Capacitor Bank and Switchgear Altitude Derating &amp; Insulation Coordination Tool Surge Arrester Protection &amp; Dielectric Withstand Verification</dc:title>
  <dc:subject>Alltitude Derating</dc:subject>
  <dc:creator>Paul Steciuk;Paul B. Steciuk;VarStec Power Solutions</dc:creator>
  <cp:keywords>Altitude Derating, IEEE C62.22 Protective Margin, IEC 60071-2 Required Withstand Verification, MCOV, FOW, ACF, PML1, PML2, di/dt, rate of rise, SPL, Switching Protective Level, Lead Length, GE Lightning Arrester, Surge Arrester, IEC TR 62271-306, IEC 60694 / 60871-1</cp:keywords>
  <dc:description>The VarStec Switchgear and Capacitor Bank Derating &amp; Insulation Coordination Tool is a comprehensive engineering calculation tool (excel workbook) developed to evaluate the dielecric withstand capabilities of medium-voltage system equipment when placed above 1000 meters (3300 feet). Upsizing equipment is not always necessary. Learn why here.</dc:description>
  <cp:lastModifiedBy>Paul Steciuk</cp:lastModifiedBy>
  <cp:lastPrinted>2026-03-25T15:50:28Z</cp:lastPrinted>
  <dcterms:created xsi:type="dcterms:W3CDTF">2025-12-26T20:24:32Z</dcterms:created>
  <dcterms:modified xsi:type="dcterms:W3CDTF">2026-04-13T15:38:04Z</dcterms:modified>
  <cp:category>Professional Engineer Analysis Tool</cp:category>
  <cp:contentStatus>Current - Updated 4-13-2026</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0x010100D339AD2BD9EF5744A93D330800BBA098</vt:lpwstr>
  </property>
  <property fmtid="{D5CDD505-2E9C-101B-9397-08002B2CF9AE}" pid="3" name="MediaServiceImageTags">
    <vt:lpwstr/>
  </property>
</Properties>
</file>