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varstecllc.sharepoint.com/sites/VarStecPowerSolutions/Shared Documents/Spreadsheet Tools/"/>
    </mc:Choice>
  </mc:AlternateContent>
  <xr:revisionPtr revIDLastSave="622" documentId="8_{DC2E6D82-73BB-4B97-BA73-F6DF5DCF6C29}" xr6:coauthVersionLast="47" xr6:coauthVersionMax="47" xr10:uidLastSave="{FD0965BC-9805-46E2-99CC-E49386CF7AFE}"/>
  <bookViews>
    <workbookView xWindow="-120" yWindow="-120" windowWidth="29040" windowHeight="15720" tabRatio="911" xr2:uid="{4C264004-6676-4F98-9AFF-1B939DCC5688}"/>
  </bookViews>
  <sheets>
    <sheet name="Overview and Purpose" sheetId="8" r:id="rId1"/>
    <sheet name="Notch Filter Design" sheetId="1" r:id="rId2"/>
    <sheet name="HP Filter Design" sheetId="2" r:id="rId3"/>
    <sheet name="C-HP Filter Design" sheetId="3" r:id="rId4"/>
    <sheet name="Notch Reverse Calculator" sheetId="4" r:id="rId5"/>
    <sheet name="High-Pass Reverse Calculator" sheetId="5" r:id="rId6"/>
    <sheet name="C-High-Pass Reverse Calculator" sheetId="6" r:id="rId7"/>
  </sheets>
  <definedNames>
    <definedName name="_xlnm.Print_Area" localSheetId="6">'C-High-Pass Reverse Calculator'!$B$2:$AP$49</definedName>
    <definedName name="_xlnm.Print_Area" localSheetId="3">'C-HP Filter Design'!$B$2:$AP$49,'C-HP Filter Design'!$AR$2:$CF$49,'C-HP Filter Design'!$B$51:$AP$98,'C-HP Filter Design'!$AR$51:$CF$98,'C-HP Filter Design'!$B$100:$AP$147,'C-HP Filter Design'!$AR$100:$CF$147,'C-HP Filter Design'!$B$149:$AP$196,'C-HP Filter Design'!$AR$149:$CF$196</definedName>
    <definedName name="_xlnm.Print_Area" localSheetId="5">'High-Pass Reverse Calculator'!$B$2:$AP$49</definedName>
    <definedName name="_xlnm.Print_Area" localSheetId="2">'HP Filter Design'!$B$2:$AP$49,'HP Filter Design'!$AR$2:$CF$49,'HP Filter Design'!$B$51:$AP$98,'HP Filter Design'!$AR$51:$CF$98,'HP Filter Design'!$B$100:$AP$147,'HP Filter Design'!$AR$100:$CF$147,'HP Filter Design'!$B$149:$AP$196,'HP Filter Design'!$AR$149:$CF$196</definedName>
    <definedName name="_xlnm.Print_Area" localSheetId="1">'Notch Filter Design'!$B$2:$AP$49,'Notch Filter Design'!$AR$2:$CF$49,'Notch Filter Design'!$B$51:$AP$98,'Notch Filter Design'!$AR$51:$CF$98,'Notch Filter Design'!$B$100:$AP$147,'Notch Filter Design'!$AR$100:$CF$147,'Notch Filter Design'!$B$149:$AP$196,'Notch Filter Design'!$AR$149:$CF$196</definedName>
    <definedName name="_xlnm.Print_Area" localSheetId="4">'Notch Reverse Calculator'!$B$2:$AP$49</definedName>
    <definedName name="_xlnm.Print_Area" localSheetId="0">'Overview and Purpose'!$B$2:$AP$49,'Overview and Purpose'!$AR$2:$CF$49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62" i="3" l="1"/>
  <c r="C137" i="3"/>
  <c r="FD6" i="3"/>
  <c r="FE6" i="3"/>
  <c r="FF6" i="3"/>
  <c r="FG6" i="3"/>
  <c r="FD7" i="3"/>
  <c r="FE7" i="3"/>
  <c r="FF7" i="3"/>
  <c r="FG7" i="3"/>
  <c r="FD8" i="3"/>
  <c r="FE8" i="3"/>
  <c r="FF8" i="3"/>
  <c r="FG8" i="3"/>
  <c r="FD9" i="3"/>
  <c r="FE9" i="3"/>
  <c r="FI9" i="3" s="1"/>
  <c r="FJ9" i="3" s="1"/>
  <c r="FF9" i="3"/>
  <c r="FG9" i="3"/>
  <c r="FD10" i="3"/>
  <c r="FE10" i="3"/>
  <c r="FF10" i="3"/>
  <c r="FG10" i="3"/>
  <c r="FD11" i="3"/>
  <c r="FE11" i="3"/>
  <c r="FF11" i="3"/>
  <c r="FG11" i="3"/>
  <c r="FD12" i="3"/>
  <c r="FE12" i="3"/>
  <c r="FI12" i="3" s="1"/>
  <c r="FF12" i="3"/>
  <c r="FG12" i="3"/>
  <c r="FD13" i="3"/>
  <c r="FE13" i="3"/>
  <c r="FI13" i="3" s="1"/>
  <c r="FJ13" i="3" s="1"/>
  <c r="FF13" i="3"/>
  <c r="FG13" i="3"/>
  <c r="FD14" i="3"/>
  <c r="FE14" i="3"/>
  <c r="FF14" i="3"/>
  <c r="FG14" i="3"/>
  <c r="FD15" i="3"/>
  <c r="FE15" i="3"/>
  <c r="FF15" i="3"/>
  <c r="FG15" i="3"/>
  <c r="FD16" i="3"/>
  <c r="FE16" i="3"/>
  <c r="FF16" i="3"/>
  <c r="FG16" i="3"/>
  <c r="FD17" i="3"/>
  <c r="FE17" i="3"/>
  <c r="FI17" i="3" s="1"/>
  <c r="FJ17" i="3" s="1"/>
  <c r="FF17" i="3"/>
  <c r="FG17" i="3"/>
  <c r="FD18" i="3"/>
  <c r="FE18" i="3"/>
  <c r="FF18" i="3"/>
  <c r="FG18" i="3"/>
  <c r="FD19" i="3"/>
  <c r="FE19" i="3"/>
  <c r="FF19" i="3"/>
  <c r="FG19" i="3"/>
  <c r="FD20" i="3"/>
  <c r="FE20" i="3"/>
  <c r="FI20" i="3" s="1"/>
  <c r="FF20" i="3"/>
  <c r="FG20" i="3"/>
  <c r="FD21" i="3"/>
  <c r="FE21" i="3"/>
  <c r="FI21" i="3" s="1"/>
  <c r="FJ21" i="3" s="1"/>
  <c r="FF21" i="3"/>
  <c r="FG21" i="3"/>
  <c r="FD22" i="3"/>
  <c r="FE22" i="3"/>
  <c r="FF22" i="3"/>
  <c r="FG22" i="3"/>
  <c r="FD23" i="3"/>
  <c r="FE23" i="3"/>
  <c r="FF23" i="3"/>
  <c r="FG23" i="3"/>
  <c r="FD24" i="3"/>
  <c r="FE24" i="3"/>
  <c r="FF24" i="3"/>
  <c r="FG24" i="3"/>
  <c r="FD25" i="3"/>
  <c r="FE25" i="3"/>
  <c r="FI25" i="3" s="1"/>
  <c r="FJ25" i="3" s="1"/>
  <c r="FF25" i="3"/>
  <c r="FG25" i="3"/>
  <c r="FD26" i="3"/>
  <c r="FE26" i="3"/>
  <c r="FF26" i="3"/>
  <c r="FG26" i="3"/>
  <c r="FD27" i="3"/>
  <c r="FE27" i="3"/>
  <c r="FF27" i="3"/>
  <c r="FG27" i="3"/>
  <c r="FD28" i="3"/>
  <c r="FE28" i="3"/>
  <c r="FI28" i="3" s="1"/>
  <c r="FF28" i="3"/>
  <c r="FG28" i="3"/>
  <c r="FD29" i="3"/>
  <c r="FE29" i="3"/>
  <c r="FI29" i="3" s="1"/>
  <c r="FJ29" i="3" s="1"/>
  <c r="FF29" i="3"/>
  <c r="FG29" i="3"/>
  <c r="FD30" i="3"/>
  <c r="FE30" i="3"/>
  <c r="FF30" i="3"/>
  <c r="FG30" i="3"/>
  <c r="FD31" i="3"/>
  <c r="FE31" i="3"/>
  <c r="FF31" i="3"/>
  <c r="FG31" i="3"/>
  <c r="FD32" i="3"/>
  <c r="FE32" i="3"/>
  <c r="FF32" i="3"/>
  <c r="FG32" i="3"/>
  <c r="FD33" i="3"/>
  <c r="FE33" i="3"/>
  <c r="FI33" i="3" s="1"/>
  <c r="FJ33" i="3" s="1"/>
  <c r="FF33" i="3"/>
  <c r="FG33" i="3"/>
  <c r="FD34" i="3"/>
  <c r="FE34" i="3"/>
  <c r="FF34" i="3"/>
  <c r="FG34" i="3"/>
  <c r="FD35" i="3"/>
  <c r="FE35" i="3"/>
  <c r="FF35" i="3"/>
  <c r="FG35" i="3"/>
  <c r="FD36" i="3"/>
  <c r="FE36" i="3"/>
  <c r="FI36" i="3" s="1"/>
  <c r="FF36" i="3"/>
  <c r="FG36" i="3"/>
  <c r="FD37" i="3"/>
  <c r="FE37" i="3"/>
  <c r="FI37" i="3" s="1"/>
  <c r="FJ37" i="3" s="1"/>
  <c r="FF37" i="3"/>
  <c r="FG37" i="3"/>
  <c r="FD38" i="3"/>
  <c r="FE38" i="3"/>
  <c r="FF38" i="3"/>
  <c r="FG38" i="3"/>
  <c r="FD39" i="3"/>
  <c r="FE39" i="3"/>
  <c r="FF39" i="3"/>
  <c r="FG39" i="3"/>
  <c r="FD40" i="3"/>
  <c r="FE40" i="3"/>
  <c r="FF40" i="3"/>
  <c r="FG40" i="3"/>
  <c r="FD41" i="3"/>
  <c r="FE41" i="3"/>
  <c r="FI41" i="3" s="1"/>
  <c r="FJ41" i="3" s="1"/>
  <c r="FF41" i="3"/>
  <c r="FG41" i="3"/>
  <c r="FD44" i="3"/>
  <c r="FE44" i="3"/>
  <c r="FI44" i="3" s="1"/>
  <c r="FF44" i="3"/>
  <c r="FG44" i="3"/>
  <c r="FD45" i="3"/>
  <c r="FE45" i="3"/>
  <c r="FI45" i="3" s="1"/>
  <c r="FJ45" i="3" s="1"/>
  <c r="FF45" i="3"/>
  <c r="FG45" i="3"/>
  <c r="FD46" i="3"/>
  <c r="FE46" i="3"/>
  <c r="FI46" i="3" s="1"/>
  <c r="FJ46" i="3" s="1"/>
  <c r="FF46" i="3"/>
  <c r="FG46" i="3"/>
  <c r="FD48" i="3"/>
  <c r="FE48" i="3"/>
  <c r="FF48" i="3"/>
  <c r="FG48" i="3"/>
  <c r="FD49" i="3"/>
  <c r="FE49" i="3"/>
  <c r="FI49" i="3" s="1"/>
  <c r="FJ49" i="3" s="1"/>
  <c r="FF49" i="3"/>
  <c r="FG49" i="3"/>
  <c r="FD50" i="3"/>
  <c r="FE50" i="3"/>
  <c r="FF50" i="3"/>
  <c r="FG50" i="3"/>
  <c r="FD51" i="3"/>
  <c r="FE51" i="3"/>
  <c r="FF51" i="3"/>
  <c r="FG51" i="3"/>
  <c r="FD52" i="3"/>
  <c r="FE52" i="3"/>
  <c r="FI52" i="3" s="1"/>
  <c r="FF52" i="3"/>
  <c r="FG52" i="3"/>
  <c r="FD53" i="3"/>
  <c r="FE53" i="3"/>
  <c r="FI53" i="3" s="1"/>
  <c r="FJ53" i="3" s="1"/>
  <c r="FF53" i="3"/>
  <c r="FG53" i="3"/>
  <c r="FD54" i="3"/>
  <c r="FE54" i="3"/>
  <c r="FI54" i="3" s="1"/>
  <c r="FJ54" i="3" s="1"/>
  <c r="FF54" i="3"/>
  <c r="FG54" i="3"/>
  <c r="FD55" i="3"/>
  <c r="FE55" i="3"/>
  <c r="FF55" i="3"/>
  <c r="FG55" i="3"/>
  <c r="FD56" i="3"/>
  <c r="FE56" i="3"/>
  <c r="FF56" i="3"/>
  <c r="FG56" i="3"/>
  <c r="FD57" i="3"/>
  <c r="FE57" i="3"/>
  <c r="FI57" i="3" s="1"/>
  <c r="FJ57" i="3" s="1"/>
  <c r="FF57" i="3"/>
  <c r="FG57" i="3"/>
  <c r="FD58" i="3"/>
  <c r="FE58" i="3"/>
  <c r="FF58" i="3"/>
  <c r="FG58" i="3"/>
  <c r="FD59" i="3"/>
  <c r="FE59" i="3"/>
  <c r="FF59" i="3"/>
  <c r="FG59" i="3"/>
  <c r="FD60" i="3"/>
  <c r="FE60" i="3"/>
  <c r="FI60" i="3" s="1"/>
  <c r="FF60" i="3"/>
  <c r="FG60" i="3"/>
  <c r="FD61" i="3"/>
  <c r="FE61" i="3"/>
  <c r="FI61" i="3" s="1"/>
  <c r="FJ61" i="3" s="1"/>
  <c r="FF61" i="3"/>
  <c r="FG61" i="3"/>
  <c r="FD62" i="3"/>
  <c r="FE62" i="3"/>
  <c r="FI62" i="3" s="1"/>
  <c r="FJ62" i="3" s="1"/>
  <c r="FF62" i="3"/>
  <c r="FG62" i="3"/>
  <c r="FD63" i="3"/>
  <c r="FE63" i="3"/>
  <c r="FF63" i="3"/>
  <c r="FG63" i="3"/>
  <c r="FD64" i="3"/>
  <c r="FE64" i="3"/>
  <c r="FF64" i="3"/>
  <c r="FG64" i="3"/>
  <c r="FD65" i="3"/>
  <c r="FE65" i="3"/>
  <c r="FI65" i="3" s="1"/>
  <c r="FF65" i="3"/>
  <c r="FG65" i="3"/>
  <c r="FD66" i="3"/>
  <c r="FE66" i="3"/>
  <c r="FF66" i="3"/>
  <c r="FG66" i="3"/>
  <c r="FD67" i="3"/>
  <c r="FE67" i="3"/>
  <c r="FF67" i="3"/>
  <c r="FG67" i="3"/>
  <c r="FD68" i="3"/>
  <c r="FE68" i="3"/>
  <c r="FI68" i="3" s="1"/>
  <c r="FK68" i="3" s="1"/>
  <c r="FF68" i="3"/>
  <c r="FG68" i="3"/>
  <c r="FD69" i="3"/>
  <c r="FE69" i="3"/>
  <c r="FI69" i="3" s="1"/>
  <c r="FJ69" i="3" s="1"/>
  <c r="FF69" i="3"/>
  <c r="FG69" i="3"/>
  <c r="FD71" i="3"/>
  <c r="FE71" i="3"/>
  <c r="FF71" i="3"/>
  <c r="FG71" i="3"/>
  <c r="FD72" i="3"/>
  <c r="FE72" i="3"/>
  <c r="FF72" i="3"/>
  <c r="FG72" i="3"/>
  <c r="FD73" i="3"/>
  <c r="FE73" i="3"/>
  <c r="FI73" i="3" s="1"/>
  <c r="FF73" i="3"/>
  <c r="FG73" i="3"/>
  <c r="FD74" i="3"/>
  <c r="FE74" i="3"/>
  <c r="FI74" i="3" s="1"/>
  <c r="FF74" i="3"/>
  <c r="FG74" i="3"/>
  <c r="FD75" i="3"/>
  <c r="FE75" i="3"/>
  <c r="FF75" i="3"/>
  <c r="FG75" i="3"/>
  <c r="FD76" i="3"/>
  <c r="FE76" i="3"/>
  <c r="FI76" i="3" s="1"/>
  <c r="FK76" i="3" s="1"/>
  <c r="FF76" i="3"/>
  <c r="FG76" i="3"/>
  <c r="FD77" i="3"/>
  <c r="FE77" i="3"/>
  <c r="FI77" i="3" s="1"/>
  <c r="FJ77" i="3" s="1"/>
  <c r="FF77" i="3"/>
  <c r="FG77" i="3"/>
  <c r="FD78" i="3"/>
  <c r="FE78" i="3"/>
  <c r="FI78" i="3" s="1"/>
  <c r="FJ78" i="3" s="1"/>
  <c r="FF78" i="3"/>
  <c r="FG78" i="3"/>
  <c r="FD79" i="3"/>
  <c r="FE79" i="3"/>
  <c r="FF79" i="3"/>
  <c r="FG79" i="3"/>
  <c r="FD80" i="3"/>
  <c r="FE80" i="3"/>
  <c r="FF80" i="3"/>
  <c r="FG80" i="3"/>
  <c r="FD81" i="3"/>
  <c r="FE81" i="3"/>
  <c r="FI81" i="3" s="1"/>
  <c r="FF81" i="3"/>
  <c r="FG81" i="3"/>
  <c r="FD82" i="3"/>
  <c r="FE82" i="3"/>
  <c r="FI82" i="3" s="1"/>
  <c r="FF82" i="3"/>
  <c r="FG82" i="3"/>
  <c r="FD83" i="3"/>
  <c r="FE83" i="3"/>
  <c r="FF83" i="3"/>
  <c r="FG83" i="3"/>
  <c r="FD84" i="3"/>
  <c r="FE84" i="3"/>
  <c r="FI84" i="3" s="1"/>
  <c r="FJ84" i="3" s="1"/>
  <c r="FF84" i="3"/>
  <c r="FG84" i="3"/>
  <c r="FD85" i="3"/>
  <c r="FE85" i="3"/>
  <c r="FI85" i="3" s="1"/>
  <c r="FJ85" i="3" s="1"/>
  <c r="FF85" i="3"/>
  <c r="FG85" i="3"/>
  <c r="FD86" i="3"/>
  <c r="FE86" i="3"/>
  <c r="FF86" i="3"/>
  <c r="FG86" i="3"/>
  <c r="FD87" i="3"/>
  <c r="FE87" i="3"/>
  <c r="FF87" i="3"/>
  <c r="FG87" i="3"/>
  <c r="FD88" i="3"/>
  <c r="FE88" i="3"/>
  <c r="FF88" i="3"/>
  <c r="FG88" i="3"/>
  <c r="FD89" i="3"/>
  <c r="FE89" i="3"/>
  <c r="FI89" i="3" s="1"/>
  <c r="FF89" i="3"/>
  <c r="FG89" i="3"/>
  <c r="FD90" i="3"/>
  <c r="FE90" i="3"/>
  <c r="FI90" i="3" s="1"/>
  <c r="FF90" i="3"/>
  <c r="FG90" i="3"/>
  <c r="FD91" i="3"/>
  <c r="FE91" i="3"/>
  <c r="FF91" i="3"/>
  <c r="FG91" i="3"/>
  <c r="FD92" i="3"/>
  <c r="FE92" i="3"/>
  <c r="FI92" i="3" s="1"/>
  <c r="FF92" i="3"/>
  <c r="FG92" i="3"/>
  <c r="FD93" i="3"/>
  <c r="FE93" i="3"/>
  <c r="FI93" i="3" s="1"/>
  <c r="FJ93" i="3" s="1"/>
  <c r="FF93" i="3"/>
  <c r="FG93" i="3"/>
  <c r="FD94" i="3"/>
  <c r="FE94" i="3"/>
  <c r="FI94" i="3" s="1"/>
  <c r="FJ94" i="3" s="1"/>
  <c r="FF94" i="3"/>
  <c r="FG94" i="3"/>
  <c r="FD95" i="3"/>
  <c r="FE95" i="3"/>
  <c r="FI95" i="3" s="1"/>
  <c r="FF95" i="3"/>
  <c r="FG95" i="3"/>
  <c r="FD96" i="3"/>
  <c r="FE96" i="3"/>
  <c r="FF96" i="3"/>
  <c r="FG96" i="3"/>
  <c r="FD97" i="3"/>
  <c r="FE97" i="3"/>
  <c r="FI97" i="3" s="1"/>
  <c r="FF97" i="3"/>
  <c r="FG97" i="3"/>
  <c r="FD98" i="3"/>
  <c r="FE98" i="3"/>
  <c r="FI98" i="3" s="1"/>
  <c r="FF98" i="3"/>
  <c r="FG98" i="3"/>
  <c r="FD99" i="3"/>
  <c r="FE99" i="3"/>
  <c r="FF99" i="3"/>
  <c r="FG99" i="3"/>
  <c r="FD100" i="3"/>
  <c r="FE100" i="3"/>
  <c r="FI100" i="3" s="1"/>
  <c r="FJ100" i="3" s="1"/>
  <c r="FF100" i="3"/>
  <c r="FG100" i="3"/>
  <c r="FD101" i="3"/>
  <c r="FE101" i="3"/>
  <c r="FI101" i="3" s="1"/>
  <c r="FJ101" i="3" s="1"/>
  <c r="FF101" i="3"/>
  <c r="FG101" i="3"/>
  <c r="FD102" i="3"/>
  <c r="FE102" i="3"/>
  <c r="FF102" i="3"/>
  <c r="FG102" i="3"/>
  <c r="FD103" i="3"/>
  <c r="FE103" i="3"/>
  <c r="FI103" i="3" s="1"/>
  <c r="FF103" i="3"/>
  <c r="FG103" i="3"/>
  <c r="FD104" i="3"/>
  <c r="FE104" i="3"/>
  <c r="FF104" i="3"/>
  <c r="FG104" i="3"/>
  <c r="FD105" i="3"/>
  <c r="FE105" i="3"/>
  <c r="FI105" i="3" s="1"/>
  <c r="FF105" i="3"/>
  <c r="FG105" i="3"/>
  <c r="FD106" i="3"/>
  <c r="FE106" i="3"/>
  <c r="FI106" i="3" s="1"/>
  <c r="FJ106" i="3" s="1"/>
  <c r="FF106" i="3"/>
  <c r="FG106" i="3"/>
  <c r="FD107" i="3"/>
  <c r="FE107" i="3"/>
  <c r="FF107" i="3"/>
  <c r="FG107" i="3"/>
  <c r="FD108" i="3"/>
  <c r="FE108" i="3"/>
  <c r="FI108" i="3" s="1"/>
  <c r="FJ108" i="3" s="1"/>
  <c r="FF108" i="3"/>
  <c r="FG108" i="3"/>
  <c r="FD109" i="3"/>
  <c r="FE109" i="3"/>
  <c r="FI109" i="3" s="1"/>
  <c r="FF109" i="3"/>
  <c r="FG109" i="3"/>
  <c r="FD110" i="3"/>
  <c r="FE110" i="3"/>
  <c r="FF110" i="3"/>
  <c r="FG110" i="3"/>
  <c r="FD111" i="3"/>
  <c r="FE111" i="3"/>
  <c r="FF111" i="3"/>
  <c r="FG111" i="3"/>
  <c r="FD112" i="3"/>
  <c r="FE112" i="3"/>
  <c r="FF112" i="3"/>
  <c r="FG112" i="3"/>
  <c r="FD113" i="3"/>
  <c r="FE113" i="3"/>
  <c r="FF113" i="3"/>
  <c r="FG113" i="3"/>
  <c r="FD114" i="3"/>
  <c r="FE114" i="3"/>
  <c r="FI114" i="3" s="1"/>
  <c r="FK114" i="3" s="1"/>
  <c r="FF114" i="3"/>
  <c r="FG114" i="3"/>
  <c r="FD115" i="3"/>
  <c r="FE115" i="3"/>
  <c r="FF115" i="3"/>
  <c r="FG115" i="3"/>
  <c r="FD116" i="3"/>
  <c r="FE116" i="3"/>
  <c r="FI116" i="3" s="1"/>
  <c r="FF116" i="3"/>
  <c r="FG116" i="3"/>
  <c r="FD117" i="3"/>
  <c r="FE117" i="3"/>
  <c r="FI117" i="3" s="1"/>
  <c r="FJ117" i="3" s="1"/>
  <c r="FF117" i="3"/>
  <c r="FG117" i="3"/>
  <c r="FD118" i="3"/>
  <c r="FE118" i="3"/>
  <c r="FI118" i="3" s="1"/>
  <c r="FJ118" i="3" s="1"/>
  <c r="FF118" i="3"/>
  <c r="FG118" i="3"/>
  <c r="FD119" i="3"/>
  <c r="FE119" i="3"/>
  <c r="FF119" i="3"/>
  <c r="FG119" i="3"/>
  <c r="FD120" i="3"/>
  <c r="FE120" i="3"/>
  <c r="FF120" i="3"/>
  <c r="FG120" i="3"/>
  <c r="FD121" i="3"/>
  <c r="FE121" i="3"/>
  <c r="FF121" i="3"/>
  <c r="FG121" i="3"/>
  <c r="FD122" i="3"/>
  <c r="FE122" i="3"/>
  <c r="FI122" i="3" s="1"/>
  <c r="FF122" i="3"/>
  <c r="FG122" i="3"/>
  <c r="FD123" i="3"/>
  <c r="FE123" i="3"/>
  <c r="FF123" i="3"/>
  <c r="FG123" i="3"/>
  <c r="FD124" i="3"/>
  <c r="FE124" i="3"/>
  <c r="FI124" i="3" s="1"/>
  <c r="FF124" i="3"/>
  <c r="FG124" i="3"/>
  <c r="FD125" i="3"/>
  <c r="FE125" i="3"/>
  <c r="FI125" i="3" s="1"/>
  <c r="FJ125" i="3" s="1"/>
  <c r="FF125" i="3"/>
  <c r="FG125" i="3"/>
  <c r="FD126" i="3"/>
  <c r="FE126" i="3"/>
  <c r="FI126" i="3" s="1"/>
  <c r="FJ126" i="3" s="1"/>
  <c r="FF126" i="3"/>
  <c r="FG126" i="3"/>
  <c r="FD127" i="3"/>
  <c r="FE127" i="3"/>
  <c r="FI127" i="3" s="1"/>
  <c r="FJ127" i="3" s="1"/>
  <c r="FF127" i="3"/>
  <c r="FG127" i="3"/>
  <c r="FD128" i="3"/>
  <c r="FE128" i="3"/>
  <c r="FF128" i="3"/>
  <c r="FG128" i="3"/>
  <c r="FD129" i="3"/>
  <c r="FE129" i="3"/>
  <c r="FF129" i="3"/>
  <c r="FG129" i="3"/>
  <c r="FD130" i="3"/>
  <c r="FE130" i="3"/>
  <c r="FI130" i="3" s="1"/>
  <c r="FJ130" i="3" s="1"/>
  <c r="FF130" i="3"/>
  <c r="FG130" i="3"/>
  <c r="FD131" i="3"/>
  <c r="FE131" i="3"/>
  <c r="FF131" i="3"/>
  <c r="FG131" i="3"/>
  <c r="FD132" i="3"/>
  <c r="FE132" i="3"/>
  <c r="FF132" i="3"/>
  <c r="FG132" i="3"/>
  <c r="FD133" i="3"/>
  <c r="FE133" i="3"/>
  <c r="FF133" i="3"/>
  <c r="FG133" i="3"/>
  <c r="FD134" i="3"/>
  <c r="FE134" i="3"/>
  <c r="FF134" i="3"/>
  <c r="FG134" i="3"/>
  <c r="FD135" i="3"/>
  <c r="FE135" i="3"/>
  <c r="FF135" i="3"/>
  <c r="FG135" i="3"/>
  <c r="FD136" i="3"/>
  <c r="FE136" i="3"/>
  <c r="FF136" i="3"/>
  <c r="FG136" i="3"/>
  <c r="FD137" i="3"/>
  <c r="FE137" i="3"/>
  <c r="FI137" i="3" s="1"/>
  <c r="FJ137" i="3" s="1"/>
  <c r="FF137" i="3"/>
  <c r="FG137" i="3"/>
  <c r="FD138" i="3"/>
  <c r="FE138" i="3"/>
  <c r="FI138" i="3" s="1"/>
  <c r="FJ138" i="3" s="1"/>
  <c r="FF138" i="3"/>
  <c r="FG138" i="3"/>
  <c r="FD139" i="3"/>
  <c r="FE139" i="3"/>
  <c r="FI139" i="3" s="1"/>
  <c r="FF139" i="3"/>
  <c r="FG139" i="3"/>
  <c r="FD140" i="3"/>
  <c r="FE140" i="3"/>
  <c r="FF140" i="3"/>
  <c r="FG140" i="3"/>
  <c r="FD141" i="3"/>
  <c r="FE141" i="3"/>
  <c r="FF141" i="3"/>
  <c r="FG141" i="3"/>
  <c r="FD142" i="3"/>
  <c r="FE142" i="3"/>
  <c r="FF142" i="3"/>
  <c r="FG142" i="3"/>
  <c r="FD143" i="3"/>
  <c r="FE143" i="3"/>
  <c r="FF143" i="3"/>
  <c r="FG143" i="3"/>
  <c r="FD144" i="3"/>
  <c r="FE144" i="3"/>
  <c r="FI144" i="3" s="1"/>
  <c r="FF144" i="3"/>
  <c r="FG144" i="3"/>
  <c r="FD145" i="3"/>
  <c r="FE145" i="3"/>
  <c r="FI145" i="3" s="1"/>
  <c r="FK145" i="3" s="1"/>
  <c r="FF145" i="3"/>
  <c r="FG145" i="3"/>
  <c r="FD146" i="3"/>
  <c r="FE146" i="3"/>
  <c r="FF146" i="3"/>
  <c r="FG146" i="3"/>
  <c r="FD147" i="3"/>
  <c r="FE147" i="3"/>
  <c r="FF147" i="3"/>
  <c r="FG147" i="3"/>
  <c r="FD148" i="3"/>
  <c r="FE148" i="3"/>
  <c r="FI148" i="3" s="1"/>
  <c r="FJ148" i="3" s="1"/>
  <c r="FF148" i="3"/>
  <c r="FG148" i="3"/>
  <c r="FD149" i="3"/>
  <c r="FE149" i="3"/>
  <c r="FF149" i="3"/>
  <c r="FG149" i="3"/>
  <c r="FD150" i="3"/>
  <c r="FE150" i="3"/>
  <c r="FF150" i="3"/>
  <c r="FG150" i="3"/>
  <c r="FD151" i="3"/>
  <c r="FE151" i="3"/>
  <c r="FF151" i="3"/>
  <c r="FG151" i="3"/>
  <c r="FD152" i="3"/>
  <c r="FE152" i="3"/>
  <c r="FI152" i="3" s="1"/>
  <c r="FF152" i="3"/>
  <c r="FG152" i="3"/>
  <c r="FD153" i="3"/>
  <c r="FE153" i="3"/>
  <c r="FI153" i="3" s="1"/>
  <c r="FF153" i="3"/>
  <c r="FG153" i="3"/>
  <c r="FD154" i="3"/>
  <c r="FE154" i="3"/>
  <c r="FF154" i="3"/>
  <c r="FG154" i="3"/>
  <c r="FD155" i="3"/>
  <c r="FE155" i="3"/>
  <c r="FI155" i="3" s="1"/>
  <c r="FF155" i="3"/>
  <c r="FG155" i="3"/>
  <c r="FD156" i="3"/>
  <c r="FE156" i="3"/>
  <c r="FI156" i="3" s="1"/>
  <c r="FJ156" i="3" s="1"/>
  <c r="FF156" i="3"/>
  <c r="FG156" i="3"/>
  <c r="FD157" i="3"/>
  <c r="FE157" i="3"/>
  <c r="FI157" i="3" s="1"/>
  <c r="FF157" i="3"/>
  <c r="FG157" i="3"/>
  <c r="FD158" i="3"/>
  <c r="FE158" i="3"/>
  <c r="FF158" i="3"/>
  <c r="FG158" i="3"/>
  <c r="FD159" i="3"/>
  <c r="FE159" i="3"/>
  <c r="FF159" i="3"/>
  <c r="FG159" i="3"/>
  <c r="FD160" i="3"/>
  <c r="FE160" i="3"/>
  <c r="FI160" i="3" s="1"/>
  <c r="FK160" i="3" s="1"/>
  <c r="FF160" i="3"/>
  <c r="FG160" i="3"/>
  <c r="FD161" i="3"/>
  <c r="FE161" i="3"/>
  <c r="FI161" i="3" s="1"/>
  <c r="FJ161" i="3" s="1"/>
  <c r="FF161" i="3"/>
  <c r="FG161" i="3"/>
  <c r="FD162" i="3"/>
  <c r="FE162" i="3"/>
  <c r="FF162" i="3"/>
  <c r="FG162" i="3"/>
  <c r="FD163" i="3"/>
  <c r="FE163" i="3"/>
  <c r="FI163" i="3" s="1"/>
  <c r="FJ163" i="3" s="1"/>
  <c r="FF163" i="3"/>
  <c r="FG163" i="3"/>
  <c r="FD164" i="3"/>
  <c r="FE164" i="3"/>
  <c r="FI164" i="3" s="1"/>
  <c r="FJ164" i="3" s="1"/>
  <c r="FF164" i="3"/>
  <c r="FG164" i="3"/>
  <c r="FD165" i="3"/>
  <c r="FE165" i="3"/>
  <c r="FI165" i="3" s="1"/>
  <c r="FJ165" i="3" s="1"/>
  <c r="FF165" i="3"/>
  <c r="FG165" i="3"/>
  <c r="FD166" i="3"/>
  <c r="FE166" i="3"/>
  <c r="FI166" i="3" s="1"/>
  <c r="FJ166" i="3" s="1"/>
  <c r="FF166" i="3"/>
  <c r="FG166" i="3"/>
  <c r="FD167" i="3"/>
  <c r="FE167" i="3"/>
  <c r="FF167" i="3"/>
  <c r="FG167" i="3"/>
  <c r="FD168" i="3"/>
  <c r="FE168" i="3"/>
  <c r="FI168" i="3" s="1"/>
  <c r="FF168" i="3"/>
  <c r="FG168" i="3"/>
  <c r="FD169" i="3"/>
  <c r="FE169" i="3"/>
  <c r="FI169" i="3" s="1"/>
  <c r="FF169" i="3"/>
  <c r="FG169" i="3"/>
  <c r="FD170" i="3"/>
  <c r="FE170" i="3"/>
  <c r="FF170" i="3"/>
  <c r="FG170" i="3"/>
  <c r="FD171" i="3"/>
  <c r="FE171" i="3"/>
  <c r="FI171" i="3" s="1"/>
  <c r="FF171" i="3"/>
  <c r="FG171" i="3"/>
  <c r="FD172" i="3"/>
  <c r="FE172" i="3"/>
  <c r="FI172" i="3" s="1"/>
  <c r="FF172" i="3"/>
  <c r="FG172" i="3"/>
  <c r="FD173" i="3"/>
  <c r="FE173" i="3"/>
  <c r="FI173" i="3" s="1"/>
  <c r="FJ173" i="3" s="1"/>
  <c r="FF173" i="3"/>
  <c r="FG173" i="3"/>
  <c r="FD174" i="3"/>
  <c r="FE174" i="3"/>
  <c r="FI174" i="3" s="1"/>
  <c r="FF174" i="3"/>
  <c r="FG174" i="3"/>
  <c r="FD175" i="3"/>
  <c r="FE175" i="3"/>
  <c r="FF175" i="3"/>
  <c r="FG175" i="3"/>
  <c r="FD176" i="3"/>
  <c r="FE176" i="3"/>
  <c r="FI176" i="3" s="1"/>
  <c r="FF176" i="3"/>
  <c r="FG176" i="3"/>
  <c r="FD177" i="3"/>
  <c r="FE177" i="3"/>
  <c r="FI177" i="3" s="1"/>
  <c r="FJ177" i="3" s="1"/>
  <c r="FF177" i="3"/>
  <c r="FG177" i="3"/>
  <c r="FD178" i="3"/>
  <c r="FE178" i="3"/>
  <c r="FF178" i="3"/>
  <c r="FG178" i="3"/>
  <c r="FD179" i="3"/>
  <c r="FE179" i="3"/>
  <c r="FI179" i="3" s="1"/>
  <c r="FF179" i="3"/>
  <c r="FG179" i="3"/>
  <c r="FD180" i="3"/>
  <c r="FE180" i="3"/>
  <c r="FI180" i="3" s="1"/>
  <c r="FJ180" i="3" s="1"/>
  <c r="FF180" i="3"/>
  <c r="FG180" i="3"/>
  <c r="FD181" i="3"/>
  <c r="FE181" i="3"/>
  <c r="FI181" i="3" s="1"/>
  <c r="FF181" i="3"/>
  <c r="FG181" i="3"/>
  <c r="FD182" i="3"/>
  <c r="FE182" i="3"/>
  <c r="FI182" i="3" s="1"/>
  <c r="FJ182" i="3" s="1"/>
  <c r="FF182" i="3"/>
  <c r="FG182" i="3"/>
  <c r="FD183" i="3"/>
  <c r="FE183" i="3"/>
  <c r="FF183" i="3"/>
  <c r="FG183" i="3"/>
  <c r="FD184" i="3"/>
  <c r="FE184" i="3"/>
  <c r="FF184" i="3"/>
  <c r="FG184" i="3"/>
  <c r="FD185" i="3"/>
  <c r="FE185" i="3"/>
  <c r="FI185" i="3" s="1"/>
  <c r="FF185" i="3"/>
  <c r="FG185" i="3"/>
  <c r="FD186" i="3"/>
  <c r="FE186" i="3"/>
  <c r="FF186" i="3"/>
  <c r="FG186" i="3"/>
  <c r="FD187" i="3"/>
  <c r="FE187" i="3"/>
  <c r="FF187" i="3"/>
  <c r="FG187" i="3"/>
  <c r="FD188" i="3"/>
  <c r="FE188" i="3"/>
  <c r="FI188" i="3" s="1"/>
  <c r="FJ188" i="3" s="1"/>
  <c r="FF188" i="3"/>
  <c r="FG188" i="3"/>
  <c r="FD189" i="3"/>
  <c r="FE189" i="3"/>
  <c r="FF189" i="3"/>
  <c r="FG189" i="3"/>
  <c r="FD190" i="3"/>
  <c r="FE190" i="3"/>
  <c r="FF190" i="3"/>
  <c r="FG190" i="3"/>
  <c r="FD191" i="3"/>
  <c r="FE191" i="3"/>
  <c r="FF191" i="3"/>
  <c r="FG191" i="3"/>
  <c r="FD192" i="3"/>
  <c r="FE192" i="3"/>
  <c r="FI192" i="3" s="1"/>
  <c r="FK192" i="3" s="1"/>
  <c r="FF192" i="3"/>
  <c r="FG192" i="3"/>
  <c r="FD193" i="3"/>
  <c r="FE193" i="3"/>
  <c r="FI193" i="3" s="1"/>
  <c r="FJ193" i="3" s="1"/>
  <c r="FF193" i="3"/>
  <c r="FG193" i="3"/>
  <c r="FD194" i="3"/>
  <c r="FE194" i="3"/>
  <c r="FF194" i="3"/>
  <c r="FG194" i="3"/>
  <c r="FD195" i="3"/>
  <c r="FE195" i="3"/>
  <c r="FI195" i="3" s="1"/>
  <c r="FJ195" i="3" s="1"/>
  <c r="FF195" i="3"/>
  <c r="FG195" i="3"/>
  <c r="FD196" i="3"/>
  <c r="FE196" i="3"/>
  <c r="FI196" i="3" s="1"/>
  <c r="FJ196" i="3" s="1"/>
  <c r="FF196" i="3"/>
  <c r="FG196" i="3"/>
  <c r="FD197" i="3"/>
  <c r="FE197" i="3"/>
  <c r="FI197" i="3" s="1"/>
  <c r="FJ197" i="3" s="1"/>
  <c r="FF197" i="3"/>
  <c r="FG197" i="3"/>
  <c r="FD198" i="3"/>
  <c r="FE198" i="3"/>
  <c r="FI198" i="3" s="1"/>
  <c r="FJ198" i="3" s="1"/>
  <c r="FF198" i="3"/>
  <c r="FG198" i="3"/>
  <c r="FD199" i="3"/>
  <c r="FE199" i="3"/>
  <c r="FF199" i="3"/>
  <c r="FG199" i="3"/>
  <c r="FD200" i="3"/>
  <c r="FE200" i="3"/>
  <c r="FI200" i="3" s="1"/>
  <c r="FF200" i="3"/>
  <c r="FG200" i="3"/>
  <c r="FD201" i="3"/>
  <c r="FE201" i="3"/>
  <c r="FI201" i="3" s="1"/>
  <c r="FF201" i="3"/>
  <c r="FG201" i="3"/>
  <c r="FD202" i="3"/>
  <c r="FE202" i="3"/>
  <c r="FF202" i="3"/>
  <c r="FG202" i="3"/>
  <c r="FD203" i="3"/>
  <c r="FE203" i="3"/>
  <c r="FI203" i="3" s="1"/>
  <c r="FF203" i="3"/>
  <c r="FG203" i="3"/>
  <c r="FD204" i="3"/>
  <c r="FE204" i="3"/>
  <c r="FI204" i="3" s="1"/>
  <c r="FF204" i="3"/>
  <c r="FG204" i="3"/>
  <c r="FD205" i="3"/>
  <c r="FE205" i="3"/>
  <c r="FI205" i="3" s="1"/>
  <c r="FJ205" i="3" s="1"/>
  <c r="FF205" i="3"/>
  <c r="FG205" i="3"/>
  <c r="FD206" i="3"/>
  <c r="FE206" i="3"/>
  <c r="FI206" i="3" s="1"/>
  <c r="FF206" i="3"/>
  <c r="FG206" i="3"/>
  <c r="FD207" i="3"/>
  <c r="FE207" i="3"/>
  <c r="FF207" i="3"/>
  <c r="FG207" i="3"/>
  <c r="FD208" i="3"/>
  <c r="FE208" i="3"/>
  <c r="FI208" i="3" s="1"/>
  <c r="FF208" i="3"/>
  <c r="FG208" i="3"/>
  <c r="FD209" i="3"/>
  <c r="FE209" i="3"/>
  <c r="FI209" i="3" s="1"/>
  <c r="FJ209" i="3" s="1"/>
  <c r="FF209" i="3"/>
  <c r="FG209" i="3"/>
  <c r="FD210" i="3"/>
  <c r="FE210" i="3"/>
  <c r="FF210" i="3"/>
  <c r="FG210" i="3"/>
  <c r="FD211" i="3"/>
  <c r="FE211" i="3"/>
  <c r="FI211" i="3" s="1"/>
  <c r="FF211" i="3"/>
  <c r="FG211" i="3"/>
  <c r="FD212" i="3"/>
  <c r="FE212" i="3"/>
  <c r="FI212" i="3" s="1"/>
  <c r="FJ212" i="3" s="1"/>
  <c r="FF212" i="3"/>
  <c r="FG212" i="3"/>
  <c r="FD213" i="3"/>
  <c r="FE213" i="3"/>
  <c r="FI213" i="3" s="1"/>
  <c r="FF213" i="3"/>
  <c r="FG213" i="3"/>
  <c r="FD214" i="3"/>
  <c r="FE214" i="3"/>
  <c r="FI214" i="3" s="1"/>
  <c r="FJ214" i="3" s="1"/>
  <c r="FF214" i="3"/>
  <c r="FG214" i="3"/>
  <c r="FD215" i="3"/>
  <c r="FE215" i="3"/>
  <c r="FF215" i="3"/>
  <c r="FG215" i="3"/>
  <c r="FD216" i="3"/>
  <c r="FE216" i="3"/>
  <c r="FF216" i="3"/>
  <c r="FG216" i="3"/>
  <c r="FD217" i="3"/>
  <c r="FE217" i="3"/>
  <c r="FI217" i="3" s="1"/>
  <c r="FF217" i="3"/>
  <c r="FG217" i="3"/>
  <c r="FD218" i="3"/>
  <c r="FE218" i="3"/>
  <c r="FF218" i="3"/>
  <c r="FG218" i="3"/>
  <c r="FD219" i="3"/>
  <c r="FE219" i="3"/>
  <c r="FF219" i="3"/>
  <c r="FG219" i="3"/>
  <c r="FD220" i="3"/>
  <c r="FE220" i="3"/>
  <c r="FI220" i="3" s="1"/>
  <c r="FJ220" i="3" s="1"/>
  <c r="FF220" i="3"/>
  <c r="FG220" i="3"/>
  <c r="FD221" i="3"/>
  <c r="FE221" i="3"/>
  <c r="FF221" i="3"/>
  <c r="FG221" i="3"/>
  <c r="FD222" i="3"/>
  <c r="FE222" i="3"/>
  <c r="FF222" i="3"/>
  <c r="FG222" i="3"/>
  <c r="FD223" i="3"/>
  <c r="FE223" i="3"/>
  <c r="FF223" i="3"/>
  <c r="FG223" i="3"/>
  <c r="FD224" i="3"/>
  <c r="FE224" i="3"/>
  <c r="FF224" i="3"/>
  <c r="FG224" i="3"/>
  <c r="FD225" i="3"/>
  <c r="FE225" i="3"/>
  <c r="FI225" i="3" s="1"/>
  <c r="FJ225" i="3" s="1"/>
  <c r="FF225" i="3"/>
  <c r="FG225" i="3"/>
  <c r="FD226" i="3"/>
  <c r="FE226" i="3"/>
  <c r="FI226" i="3" s="1"/>
  <c r="FJ226" i="3" s="1"/>
  <c r="FF226" i="3"/>
  <c r="FG226" i="3"/>
  <c r="FD227" i="3"/>
  <c r="FE227" i="3"/>
  <c r="FI227" i="3" s="1"/>
  <c r="FJ227" i="3" s="1"/>
  <c r="FF227" i="3"/>
  <c r="FG227" i="3"/>
  <c r="FD228" i="3"/>
  <c r="FE228" i="3"/>
  <c r="FI228" i="3" s="1"/>
  <c r="FJ228" i="3" s="1"/>
  <c r="FF228" i="3"/>
  <c r="FG228" i="3"/>
  <c r="FD229" i="3"/>
  <c r="FE229" i="3"/>
  <c r="FI229" i="3" s="1"/>
  <c r="FJ229" i="3" s="1"/>
  <c r="FF229" i="3"/>
  <c r="FG229" i="3"/>
  <c r="FD230" i="3"/>
  <c r="FE230" i="3"/>
  <c r="FI230" i="3" s="1"/>
  <c r="FJ230" i="3" s="1"/>
  <c r="FF230" i="3"/>
  <c r="FG230" i="3"/>
  <c r="FD231" i="3"/>
  <c r="FE231" i="3"/>
  <c r="FF231" i="3"/>
  <c r="FG231" i="3"/>
  <c r="FD232" i="3"/>
  <c r="FE232" i="3"/>
  <c r="FI232" i="3" s="1"/>
  <c r="FF232" i="3"/>
  <c r="FG232" i="3"/>
  <c r="FD233" i="3"/>
  <c r="FE233" i="3"/>
  <c r="FI233" i="3" s="1"/>
  <c r="FJ233" i="3" s="1"/>
  <c r="FF233" i="3"/>
  <c r="FG233" i="3"/>
  <c r="FD234" i="3"/>
  <c r="FE234" i="3"/>
  <c r="FI234" i="3" s="1"/>
  <c r="FF234" i="3"/>
  <c r="FG234" i="3"/>
  <c r="FD235" i="3"/>
  <c r="FE235" i="3"/>
  <c r="FI235" i="3" s="1"/>
  <c r="FF235" i="3"/>
  <c r="FG235" i="3"/>
  <c r="FD236" i="3"/>
  <c r="FE236" i="3"/>
  <c r="FI236" i="3" s="1"/>
  <c r="FF236" i="3"/>
  <c r="FG236" i="3"/>
  <c r="FD237" i="3"/>
  <c r="FE237" i="3"/>
  <c r="FI237" i="3" s="1"/>
  <c r="FJ237" i="3" s="1"/>
  <c r="FF237" i="3"/>
  <c r="FG237" i="3"/>
  <c r="FD238" i="3"/>
  <c r="FE238" i="3"/>
  <c r="FI238" i="3" s="1"/>
  <c r="FF238" i="3"/>
  <c r="FG238" i="3"/>
  <c r="FD239" i="3"/>
  <c r="FE239" i="3"/>
  <c r="FF239" i="3"/>
  <c r="FG239" i="3"/>
  <c r="FD240" i="3"/>
  <c r="FE240" i="3"/>
  <c r="FI240" i="3" s="1"/>
  <c r="FF240" i="3"/>
  <c r="FG240" i="3"/>
  <c r="FD241" i="3"/>
  <c r="FE241" i="3"/>
  <c r="FI241" i="3" s="1"/>
  <c r="FJ241" i="3" s="1"/>
  <c r="FF241" i="3"/>
  <c r="FG241" i="3"/>
  <c r="FD242" i="3"/>
  <c r="FE242" i="3"/>
  <c r="FF242" i="3"/>
  <c r="FG242" i="3"/>
  <c r="FD243" i="3"/>
  <c r="FE243" i="3"/>
  <c r="FF243" i="3"/>
  <c r="FG243" i="3"/>
  <c r="FD244" i="3"/>
  <c r="FE244" i="3"/>
  <c r="FF244" i="3"/>
  <c r="FG244" i="3"/>
  <c r="FD245" i="3"/>
  <c r="FE245" i="3"/>
  <c r="FF245" i="3"/>
  <c r="FG245" i="3"/>
  <c r="FD246" i="3"/>
  <c r="FE246" i="3"/>
  <c r="FF246" i="3"/>
  <c r="FG246" i="3"/>
  <c r="FD247" i="3"/>
  <c r="FE247" i="3"/>
  <c r="FF247" i="3"/>
  <c r="FG247" i="3"/>
  <c r="FD248" i="3"/>
  <c r="FE248" i="3"/>
  <c r="FF248" i="3"/>
  <c r="FG248" i="3"/>
  <c r="FD249" i="3"/>
  <c r="FE249" i="3"/>
  <c r="FI249" i="3" s="1"/>
  <c r="FF249" i="3"/>
  <c r="FG249" i="3"/>
  <c r="FD250" i="3"/>
  <c r="FE250" i="3"/>
  <c r="FI250" i="3" s="1"/>
  <c r="FF250" i="3"/>
  <c r="FG250" i="3"/>
  <c r="FD251" i="3"/>
  <c r="FE251" i="3"/>
  <c r="FF251" i="3"/>
  <c r="FG251" i="3"/>
  <c r="FD252" i="3"/>
  <c r="FE252" i="3"/>
  <c r="FF252" i="3"/>
  <c r="FG252" i="3"/>
  <c r="FD253" i="3"/>
  <c r="FE253" i="3"/>
  <c r="FF253" i="3"/>
  <c r="FG253" i="3"/>
  <c r="FD254" i="3"/>
  <c r="FE254" i="3"/>
  <c r="FF254" i="3"/>
  <c r="FG254" i="3"/>
  <c r="FG5" i="3"/>
  <c r="FF5" i="3"/>
  <c r="FE5" i="3"/>
  <c r="FI5" i="3" s="1"/>
  <c r="FD5" i="3"/>
  <c r="EA6" i="2"/>
  <c r="EE6" i="2" s="1"/>
  <c r="EC6" i="2"/>
  <c r="ED6" i="2" s="1"/>
  <c r="EF6" i="2" s="1"/>
  <c r="EG6" i="2" s="1"/>
  <c r="EA7" i="2"/>
  <c r="EC7" i="2"/>
  <c r="ED7" i="2" s="1"/>
  <c r="EA8" i="2"/>
  <c r="EC8" i="2"/>
  <c r="ED8" i="2"/>
  <c r="EE8" i="2"/>
  <c r="EA9" i="2"/>
  <c r="EC9" i="2"/>
  <c r="ED9" i="2" s="1"/>
  <c r="EE9" i="2"/>
  <c r="EF9" i="2"/>
  <c r="EG9" i="2" s="1"/>
  <c r="EA10" i="2"/>
  <c r="EC10" i="2"/>
  <c r="ED10" i="2" s="1"/>
  <c r="EA11" i="2"/>
  <c r="EE11" i="2" s="1"/>
  <c r="EC11" i="2"/>
  <c r="EA12" i="2"/>
  <c r="EC12" i="2"/>
  <c r="ED12" i="2"/>
  <c r="EE12" i="2"/>
  <c r="EA13" i="2"/>
  <c r="EC13" i="2"/>
  <c r="ED13" i="2" s="1"/>
  <c r="EF13" i="2" s="1"/>
  <c r="EG13" i="2" s="1"/>
  <c r="EE13" i="2"/>
  <c r="EA14" i="2"/>
  <c r="EC14" i="2"/>
  <c r="ED14" i="2" s="1"/>
  <c r="EA15" i="2"/>
  <c r="EC15" i="2"/>
  <c r="ED15" i="2" s="1"/>
  <c r="EA16" i="2"/>
  <c r="EC16" i="2"/>
  <c r="ED16" i="2"/>
  <c r="EE16" i="2"/>
  <c r="EA17" i="2"/>
  <c r="EC17" i="2"/>
  <c r="ED17" i="2" s="1"/>
  <c r="EE17" i="2"/>
  <c r="EF17" i="2"/>
  <c r="EG17" i="2"/>
  <c r="EA18" i="2"/>
  <c r="EC18" i="2"/>
  <c r="ED18" i="2" s="1"/>
  <c r="EA19" i="2"/>
  <c r="EC19" i="2"/>
  <c r="ED19" i="2" s="1"/>
  <c r="EA20" i="2"/>
  <c r="EC20" i="2"/>
  <c r="ED20" i="2"/>
  <c r="EE20" i="2"/>
  <c r="EA21" i="2"/>
  <c r="EC21" i="2"/>
  <c r="ED21" i="2" s="1"/>
  <c r="EE21" i="2"/>
  <c r="EF21" i="2"/>
  <c r="EG21" i="2"/>
  <c r="EA22" i="2"/>
  <c r="EC22" i="2"/>
  <c r="ED22" i="2" s="1"/>
  <c r="EA23" i="2"/>
  <c r="EC23" i="2"/>
  <c r="ED23" i="2" s="1"/>
  <c r="EA24" i="2"/>
  <c r="EC24" i="2"/>
  <c r="ED24" i="2"/>
  <c r="EE24" i="2"/>
  <c r="EA25" i="2"/>
  <c r="EC25" i="2"/>
  <c r="ED25" i="2" s="1"/>
  <c r="EE25" i="2"/>
  <c r="EF25" i="2"/>
  <c r="EG25" i="2" s="1"/>
  <c r="EA26" i="2"/>
  <c r="EC26" i="2"/>
  <c r="ED26" i="2" s="1"/>
  <c r="EA27" i="2"/>
  <c r="EE27" i="2" s="1"/>
  <c r="EC27" i="2"/>
  <c r="ED27" i="2" s="1"/>
  <c r="EF27" i="2" s="1"/>
  <c r="EG27" i="2" s="1"/>
  <c r="EA28" i="2"/>
  <c r="EC28" i="2"/>
  <c r="ED28" i="2"/>
  <c r="EF28" i="2" s="1"/>
  <c r="EG28" i="2" s="1"/>
  <c r="EE28" i="2"/>
  <c r="EA29" i="2"/>
  <c r="EC29" i="2"/>
  <c r="ED29" i="2" s="1"/>
  <c r="EE29" i="2"/>
  <c r="EF29" i="2"/>
  <c r="EG29" i="2"/>
  <c r="EA30" i="2"/>
  <c r="EC30" i="2"/>
  <c r="ED30" i="2" s="1"/>
  <c r="EA31" i="2"/>
  <c r="EC31" i="2"/>
  <c r="ED31" i="2" s="1"/>
  <c r="EA32" i="2"/>
  <c r="EC32" i="2"/>
  <c r="ED32" i="2"/>
  <c r="EE32" i="2"/>
  <c r="EA33" i="2"/>
  <c r="EC33" i="2"/>
  <c r="ED33" i="2" s="1"/>
  <c r="EF33" i="2" s="1"/>
  <c r="EG33" i="2" s="1"/>
  <c r="EE33" i="2"/>
  <c r="EA34" i="2"/>
  <c r="EC34" i="2"/>
  <c r="ED34" i="2" s="1"/>
  <c r="EA35" i="2"/>
  <c r="EC35" i="2"/>
  <c r="ED35" i="2" s="1"/>
  <c r="EA36" i="2"/>
  <c r="EC36" i="2"/>
  <c r="ED36" i="2"/>
  <c r="EE36" i="2"/>
  <c r="EA37" i="2"/>
  <c r="EC37" i="2"/>
  <c r="ED37" i="2" s="1"/>
  <c r="EE37" i="2"/>
  <c r="EF37" i="2"/>
  <c r="EG37" i="2" s="1"/>
  <c r="EA38" i="2"/>
  <c r="EC38" i="2"/>
  <c r="ED38" i="2" s="1"/>
  <c r="EA39" i="2"/>
  <c r="EC39" i="2"/>
  <c r="ED39" i="2" s="1"/>
  <c r="EA40" i="2"/>
  <c r="EC40" i="2"/>
  <c r="ED40" i="2"/>
  <c r="EF40" i="2" s="1"/>
  <c r="EG40" i="2" s="1"/>
  <c r="EE40" i="2"/>
  <c r="EA41" i="2"/>
  <c r="EC41" i="2"/>
  <c r="ED41" i="2" s="1"/>
  <c r="EE41" i="2"/>
  <c r="EF41" i="2"/>
  <c r="EG41" i="2"/>
  <c r="EA44" i="2"/>
  <c r="EC44" i="2"/>
  <c r="ED44" i="2"/>
  <c r="EE44" i="2"/>
  <c r="EA45" i="2"/>
  <c r="EC45" i="2"/>
  <c r="ED45" i="2" s="1"/>
  <c r="EF45" i="2" s="1"/>
  <c r="EG45" i="2" s="1"/>
  <c r="EE45" i="2"/>
  <c r="EA46" i="2"/>
  <c r="EC46" i="2"/>
  <c r="ED46" i="2" s="1"/>
  <c r="EA48" i="2"/>
  <c r="EC48" i="2"/>
  <c r="ED48" i="2"/>
  <c r="EE48" i="2"/>
  <c r="EA49" i="2"/>
  <c r="EC49" i="2"/>
  <c r="ED49" i="2" s="1"/>
  <c r="EE49" i="2"/>
  <c r="EF49" i="2"/>
  <c r="EG49" i="2"/>
  <c r="EA50" i="2"/>
  <c r="EC50" i="2"/>
  <c r="ED50" i="2" s="1"/>
  <c r="EF50" i="2" s="1"/>
  <c r="EE50" i="2"/>
  <c r="EG50" i="2"/>
  <c r="EA51" i="2"/>
  <c r="EC51" i="2"/>
  <c r="ED51" i="2" s="1"/>
  <c r="EA52" i="2"/>
  <c r="EC52" i="2"/>
  <c r="EE52" i="2" s="1"/>
  <c r="ED52" i="2"/>
  <c r="EF52" i="2" s="1"/>
  <c r="EG52" i="2" s="1"/>
  <c r="EA53" i="2"/>
  <c r="EC53" i="2"/>
  <c r="ED53" i="2" s="1"/>
  <c r="EE53" i="2"/>
  <c r="EF53" i="2"/>
  <c r="EG53" i="2"/>
  <c r="EA54" i="2"/>
  <c r="EC54" i="2"/>
  <c r="ED54" i="2" s="1"/>
  <c r="EF54" i="2" s="1"/>
  <c r="EG54" i="2" s="1"/>
  <c r="EE54" i="2"/>
  <c r="EA55" i="2"/>
  <c r="EC55" i="2"/>
  <c r="ED55" i="2" s="1"/>
  <c r="EA56" i="2"/>
  <c r="EC56" i="2"/>
  <c r="ED56" i="2"/>
  <c r="EE56" i="2"/>
  <c r="EA57" i="2"/>
  <c r="EC57" i="2"/>
  <c r="ED57" i="2" s="1"/>
  <c r="EE57" i="2"/>
  <c r="EF57" i="2"/>
  <c r="EG57" i="2"/>
  <c r="EA58" i="2"/>
  <c r="EC58" i="2"/>
  <c r="ED58" i="2" s="1"/>
  <c r="EF58" i="2" s="1"/>
  <c r="EG58" i="2" s="1"/>
  <c r="EE58" i="2"/>
  <c r="EA59" i="2"/>
  <c r="EC59" i="2"/>
  <c r="ED59" i="2" s="1"/>
  <c r="EA60" i="2"/>
  <c r="EC60" i="2"/>
  <c r="ED60" i="2"/>
  <c r="EE60" i="2"/>
  <c r="EA61" i="2"/>
  <c r="EC61" i="2"/>
  <c r="ED61" i="2" s="1"/>
  <c r="EE61" i="2"/>
  <c r="EF61" i="2"/>
  <c r="EG61" i="2"/>
  <c r="EA62" i="2"/>
  <c r="EC62" i="2"/>
  <c r="ED62" i="2" s="1"/>
  <c r="EF62" i="2" s="1"/>
  <c r="EE62" i="2"/>
  <c r="EG62" i="2"/>
  <c r="EA63" i="2"/>
  <c r="EC63" i="2"/>
  <c r="ED63" i="2" s="1"/>
  <c r="EA64" i="2"/>
  <c r="EC64" i="2"/>
  <c r="ED64" i="2"/>
  <c r="EE64" i="2"/>
  <c r="EA65" i="2"/>
  <c r="EC65" i="2"/>
  <c r="ED65" i="2" s="1"/>
  <c r="EF65" i="2" s="1"/>
  <c r="EG65" i="2" s="1"/>
  <c r="EE65" i="2"/>
  <c r="EA66" i="2"/>
  <c r="EC66" i="2"/>
  <c r="ED66" i="2" s="1"/>
  <c r="EF66" i="2" s="1"/>
  <c r="EE66" i="2"/>
  <c r="EG66" i="2"/>
  <c r="EA67" i="2"/>
  <c r="EE67" i="2" s="1"/>
  <c r="EC67" i="2"/>
  <c r="EA68" i="2"/>
  <c r="EC68" i="2"/>
  <c r="ED68" i="2"/>
  <c r="EE68" i="2"/>
  <c r="EA69" i="2"/>
  <c r="EC69" i="2"/>
  <c r="ED69" i="2" s="1"/>
  <c r="EF69" i="2" s="1"/>
  <c r="EG69" i="2" s="1"/>
  <c r="EE69" i="2"/>
  <c r="EA70" i="2"/>
  <c r="EC70" i="2"/>
  <c r="ED70" i="2" s="1"/>
  <c r="EF70" i="2" s="1"/>
  <c r="EE70" i="2"/>
  <c r="EG70" i="2"/>
  <c r="EA71" i="2"/>
  <c r="EE71" i="2" s="1"/>
  <c r="EC71" i="2"/>
  <c r="EA72" i="2"/>
  <c r="EC72" i="2"/>
  <c r="ED72" i="2"/>
  <c r="EE72" i="2"/>
  <c r="EA73" i="2"/>
  <c r="EC73" i="2"/>
  <c r="ED73" i="2" s="1"/>
  <c r="EE73" i="2"/>
  <c r="EA74" i="2"/>
  <c r="EC74" i="2"/>
  <c r="ED74" i="2" s="1"/>
  <c r="EE74" i="2"/>
  <c r="EA75" i="2"/>
  <c r="EE75" i="2" s="1"/>
  <c r="EC75" i="2"/>
  <c r="EA76" i="2"/>
  <c r="EC76" i="2"/>
  <c r="ED76" i="2"/>
  <c r="EE76" i="2"/>
  <c r="EA77" i="2"/>
  <c r="EC77" i="2"/>
  <c r="ED77" i="2" s="1"/>
  <c r="EE77" i="2"/>
  <c r="EA78" i="2"/>
  <c r="EC78" i="2"/>
  <c r="ED78" i="2" s="1"/>
  <c r="EE78" i="2"/>
  <c r="EA79" i="2"/>
  <c r="EE79" i="2" s="1"/>
  <c r="EC79" i="2"/>
  <c r="EA80" i="2"/>
  <c r="EC80" i="2"/>
  <c r="ED80" i="2"/>
  <c r="EE80" i="2"/>
  <c r="EA81" i="2"/>
  <c r="EC81" i="2"/>
  <c r="ED81" i="2" s="1"/>
  <c r="EA82" i="2"/>
  <c r="EC82" i="2"/>
  <c r="ED82" i="2" s="1"/>
  <c r="EE82" i="2"/>
  <c r="EA83" i="2"/>
  <c r="EC83" i="2"/>
  <c r="ED83" i="2" s="1"/>
  <c r="EA84" i="2"/>
  <c r="EC84" i="2"/>
  <c r="ED84" i="2"/>
  <c r="EE84" i="2"/>
  <c r="EA85" i="2"/>
  <c r="EC85" i="2"/>
  <c r="ED85" i="2" s="1"/>
  <c r="EE85" i="2"/>
  <c r="EA86" i="2"/>
  <c r="EC86" i="2"/>
  <c r="ED86" i="2" s="1"/>
  <c r="EF86" i="2" s="1"/>
  <c r="EG86" i="2" s="1"/>
  <c r="EE86" i="2"/>
  <c r="EA87" i="2"/>
  <c r="EC87" i="2"/>
  <c r="ED87" i="2" s="1"/>
  <c r="EA88" i="2"/>
  <c r="EC88" i="2"/>
  <c r="ED88" i="2"/>
  <c r="EF88" i="2" s="1"/>
  <c r="EG88" i="2" s="1"/>
  <c r="EE88" i="2"/>
  <c r="EA89" i="2"/>
  <c r="EC89" i="2"/>
  <c r="ED89" i="2" s="1"/>
  <c r="EE89" i="2"/>
  <c r="EA90" i="2"/>
  <c r="EC90" i="2"/>
  <c r="ED90" i="2" s="1"/>
  <c r="EE90" i="2"/>
  <c r="EA91" i="2"/>
  <c r="EE91" i="2" s="1"/>
  <c r="EC91" i="2"/>
  <c r="EA92" i="2"/>
  <c r="EC92" i="2"/>
  <c r="ED92" i="2"/>
  <c r="EF92" i="2" s="1"/>
  <c r="EE92" i="2"/>
  <c r="EG92" i="2"/>
  <c r="EA93" i="2"/>
  <c r="EC93" i="2"/>
  <c r="ED93" i="2" s="1"/>
  <c r="EE93" i="2"/>
  <c r="EF93" i="2"/>
  <c r="EG93" i="2"/>
  <c r="EA94" i="2"/>
  <c r="EC94" i="2"/>
  <c r="ED94" i="2" s="1"/>
  <c r="EE94" i="2"/>
  <c r="EA95" i="2"/>
  <c r="EC95" i="2"/>
  <c r="ED95" i="2" s="1"/>
  <c r="EE95" i="2"/>
  <c r="EA96" i="2"/>
  <c r="EC96" i="2"/>
  <c r="ED96" i="2"/>
  <c r="EE96" i="2"/>
  <c r="EA97" i="2"/>
  <c r="EC97" i="2"/>
  <c r="ED97" i="2" s="1"/>
  <c r="EE97" i="2"/>
  <c r="EF97" i="2"/>
  <c r="EG97" i="2"/>
  <c r="EA98" i="2"/>
  <c r="EC98" i="2"/>
  <c r="EA99" i="2"/>
  <c r="EC99" i="2"/>
  <c r="ED99" i="2" s="1"/>
  <c r="EA100" i="2"/>
  <c r="EC100" i="2"/>
  <c r="EA101" i="2"/>
  <c r="EC101" i="2"/>
  <c r="EA102" i="2"/>
  <c r="EC102" i="2"/>
  <c r="ED102" i="2" s="1"/>
  <c r="EE102" i="2"/>
  <c r="EA103" i="2"/>
  <c r="EE103" i="2" s="1"/>
  <c r="EC103" i="2"/>
  <c r="EA104" i="2"/>
  <c r="EC104" i="2"/>
  <c r="ED104" i="2"/>
  <c r="EE104" i="2"/>
  <c r="EA105" i="2"/>
  <c r="EC105" i="2"/>
  <c r="ED105" i="2" s="1"/>
  <c r="EA106" i="2"/>
  <c r="EC106" i="2"/>
  <c r="ED106" i="2" s="1"/>
  <c r="EA107" i="2"/>
  <c r="EE107" i="2" s="1"/>
  <c r="EC107" i="2"/>
  <c r="EA108" i="2"/>
  <c r="EC108" i="2"/>
  <c r="ED108" i="2"/>
  <c r="EE108" i="2"/>
  <c r="EA109" i="2"/>
  <c r="EC109" i="2"/>
  <c r="ED109" i="2" s="1"/>
  <c r="EE109" i="2"/>
  <c r="EF109" i="2"/>
  <c r="EG109" i="2" s="1"/>
  <c r="EA110" i="2"/>
  <c r="EC110" i="2"/>
  <c r="ED110" i="2" s="1"/>
  <c r="EA111" i="2"/>
  <c r="EC111" i="2"/>
  <c r="ED111" i="2" s="1"/>
  <c r="EE111" i="2"/>
  <c r="EA112" i="2"/>
  <c r="EC112" i="2"/>
  <c r="ED112" i="2" s="1"/>
  <c r="EF112" i="2" s="1"/>
  <c r="EG112" i="2" s="1"/>
  <c r="EE112" i="2"/>
  <c r="EA113" i="2"/>
  <c r="EC113" i="2"/>
  <c r="ED113" i="2" s="1"/>
  <c r="EA114" i="2"/>
  <c r="EC114" i="2"/>
  <c r="EA115" i="2"/>
  <c r="EE115" i="2" s="1"/>
  <c r="EC115" i="2"/>
  <c r="ED115" i="2" s="1"/>
  <c r="EF115" i="2" s="1"/>
  <c r="EG115" i="2" s="1"/>
  <c r="EA116" i="2"/>
  <c r="EC116" i="2"/>
  <c r="EA117" i="2"/>
  <c r="EC117" i="2"/>
  <c r="ED117" i="2" s="1"/>
  <c r="EF117" i="2" s="1"/>
  <c r="EG117" i="2" s="1"/>
  <c r="EE117" i="2"/>
  <c r="EA118" i="2"/>
  <c r="EC118" i="2"/>
  <c r="ED118" i="2" s="1"/>
  <c r="EE118" i="2"/>
  <c r="EA119" i="2"/>
  <c r="EC119" i="2"/>
  <c r="ED119" i="2" s="1"/>
  <c r="EA120" i="2"/>
  <c r="EC120" i="2"/>
  <c r="ED120" i="2"/>
  <c r="EF120" i="2" s="1"/>
  <c r="EE120" i="2"/>
  <c r="EG120" i="2"/>
  <c r="EA121" i="2"/>
  <c r="EC121" i="2"/>
  <c r="ED121" i="2" s="1"/>
  <c r="EA122" i="2"/>
  <c r="EC122" i="2"/>
  <c r="ED122" i="2" s="1"/>
  <c r="EE122" i="2"/>
  <c r="EA123" i="2"/>
  <c r="EC123" i="2"/>
  <c r="ED123" i="2" s="1"/>
  <c r="EA124" i="2"/>
  <c r="EC124" i="2"/>
  <c r="ED124" i="2" s="1"/>
  <c r="EF124" i="2" s="1"/>
  <c r="EG124" i="2" s="1"/>
  <c r="EE124" i="2"/>
  <c r="EA125" i="2"/>
  <c r="EC125" i="2"/>
  <c r="ED125" i="2" s="1"/>
  <c r="EE125" i="2"/>
  <c r="EF125" i="2"/>
  <c r="EG125" i="2" s="1"/>
  <c r="EA126" i="2"/>
  <c r="EC126" i="2"/>
  <c r="ED126" i="2" s="1"/>
  <c r="EE126" i="2"/>
  <c r="EA127" i="2"/>
  <c r="EC127" i="2"/>
  <c r="ED127" i="2" s="1"/>
  <c r="EE127" i="2"/>
  <c r="EA128" i="2"/>
  <c r="EC128" i="2"/>
  <c r="ED128" i="2"/>
  <c r="EF128" i="2" s="1"/>
  <c r="EG128" i="2" s="1"/>
  <c r="EE128" i="2"/>
  <c r="EA129" i="2"/>
  <c r="EC129" i="2"/>
  <c r="EA130" i="2"/>
  <c r="EC130" i="2"/>
  <c r="EA131" i="2"/>
  <c r="EC131" i="2"/>
  <c r="ED131" i="2" s="1"/>
  <c r="EE131" i="2"/>
  <c r="EA132" i="2"/>
  <c r="EC132" i="2"/>
  <c r="EA133" i="2"/>
  <c r="EC133" i="2"/>
  <c r="ED133" i="2" s="1"/>
  <c r="EE133" i="2"/>
  <c r="EF133" i="2"/>
  <c r="EG133" i="2" s="1"/>
  <c r="EA134" i="2"/>
  <c r="EC134" i="2"/>
  <c r="ED134" i="2" s="1"/>
  <c r="EE134" i="2"/>
  <c r="EA135" i="2"/>
  <c r="EC135" i="2"/>
  <c r="ED135" i="2" s="1"/>
  <c r="EE135" i="2"/>
  <c r="EA136" i="2"/>
  <c r="EC136" i="2"/>
  <c r="ED136" i="2"/>
  <c r="EE136" i="2"/>
  <c r="EA137" i="2"/>
  <c r="EC137" i="2"/>
  <c r="EA138" i="2"/>
  <c r="EC138" i="2"/>
  <c r="ED138" i="2" s="1"/>
  <c r="EE138" i="2"/>
  <c r="EA139" i="2"/>
  <c r="EC139" i="2"/>
  <c r="ED139" i="2" s="1"/>
  <c r="EA140" i="2"/>
  <c r="EC140" i="2"/>
  <c r="ED140" i="2"/>
  <c r="EE140" i="2"/>
  <c r="EA141" i="2"/>
  <c r="EC141" i="2"/>
  <c r="ED141" i="2" s="1"/>
  <c r="EE141" i="2"/>
  <c r="EF141" i="2" s="1"/>
  <c r="EG141" i="2" s="1"/>
  <c r="EA142" i="2"/>
  <c r="EC142" i="2"/>
  <c r="ED142" i="2" s="1"/>
  <c r="EA143" i="2"/>
  <c r="EC143" i="2"/>
  <c r="ED143" i="2" s="1"/>
  <c r="EA144" i="2"/>
  <c r="EC144" i="2"/>
  <c r="ED144" i="2" s="1"/>
  <c r="EF144" i="2" s="1"/>
  <c r="EG144" i="2" s="1"/>
  <c r="EE144" i="2"/>
  <c r="EA145" i="2"/>
  <c r="EC145" i="2"/>
  <c r="ED145" i="2" s="1"/>
  <c r="EA146" i="2"/>
  <c r="EC146" i="2"/>
  <c r="EA147" i="2"/>
  <c r="EE147" i="2" s="1"/>
  <c r="EC147" i="2"/>
  <c r="EA148" i="2"/>
  <c r="EC148" i="2"/>
  <c r="ED148" i="2" s="1"/>
  <c r="EA149" i="2"/>
  <c r="EC149" i="2"/>
  <c r="ED149" i="2" s="1"/>
  <c r="EA150" i="2"/>
  <c r="EC150" i="2"/>
  <c r="ED150" i="2" s="1"/>
  <c r="EE150" i="2"/>
  <c r="EA151" i="2"/>
  <c r="EE151" i="2" s="1"/>
  <c r="EC151" i="2"/>
  <c r="EA152" i="2"/>
  <c r="EC152" i="2"/>
  <c r="ED152" i="2"/>
  <c r="EE152" i="2"/>
  <c r="EA153" i="2"/>
  <c r="EC153" i="2"/>
  <c r="ED153" i="2" s="1"/>
  <c r="EE153" i="2"/>
  <c r="EA154" i="2"/>
  <c r="EC154" i="2"/>
  <c r="ED154" i="2" s="1"/>
  <c r="EE154" i="2"/>
  <c r="EA155" i="2"/>
  <c r="EE155" i="2" s="1"/>
  <c r="EC155" i="2"/>
  <c r="EA156" i="2"/>
  <c r="EC156" i="2"/>
  <c r="ED156" i="2"/>
  <c r="EE156" i="2"/>
  <c r="EA157" i="2"/>
  <c r="EC157" i="2"/>
  <c r="ED157" i="2" s="1"/>
  <c r="EE157" i="2"/>
  <c r="EF157" i="2"/>
  <c r="EG157" i="2" s="1"/>
  <c r="EA158" i="2"/>
  <c r="EC158" i="2"/>
  <c r="EA159" i="2"/>
  <c r="EC159" i="2"/>
  <c r="ED159" i="2" s="1"/>
  <c r="EE159" i="2"/>
  <c r="EA160" i="2"/>
  <c r="EC160" i="2"/>
  <c r="EA161" i="2"/>
  <c r="EC161" i="2"/>
  <c r="ED161" i="2" s="1"/>
  <c r="EE161" i="2"/>
  <c r="EF161" i="2" s="1"/>
  <c r="EG161" i="2" s="1"/>
  <c r="EA162" i="2"/>
  <c r="EC162" i="2"/>
  <c r="EA163" i="2"/>
  <c r="EC163" i="2"/>
  <c r="ED163" i="2" s="1"/>
  <c r="EE163" i="2"/>
  <c r="EA164" i="2"/>
  <c r="EC164" i="2"/>
  <c r="EA165" i="2"/>
  <c r="EC165" i="2"/>
  <c r="ED165" i="2" s="1"/>
  <c r="EE165" i="2"/>
  <c r="EF165" i="2" s="1"/>
  <c r="EG165" i="2" s="1"/>
  <c r="EA166" i="2"/>
  <c r="EC166" i="2"/>
  <c r="ED166" i="2" s="1"/>
  <c r="EA167" i="2"/>
  <c r="EC167" i="2"/>
  <c r="ED167" i="2" s="1"/>
  <c r="EA168" i="2"/>
  <c r="EC168" i="2"/>
  <c r="ED168" i="2" s="1"/>
  <c r="EA169" i="2"/>
  <c r="EC169" i="2"/>
  <c r="ED169" i="2" s="1"/>
  <c r="EE169" i="2"/>
  <c r="EA170" i="2"/>
  <c r="EC170" i="2"/>
  <c r="ED170" i="2" s="1"/>
  <c r="EF170" i="2" s="1"/>
  <c r="EG170" i="2" s="1"/>
  <c r="EE170" i="2"/>
  <c r="EA171" i="2"/>
  <c r="EC171" i="2"/>
  <c r="EE171" i="2"/>
  <c r="EA172" i="2"/>
  <c r="EC172" i="2"/>
  <c r="ED172" i="2"/>
  <c r="EF172" i="2" s="1"/>
  <c r="EG172" i="2" s="1"/>
  <c r="EE172" i="2"/>
  <c r="EA173" i="2"/>
  <c r="EE173" i="2" s="1"/>
  <c r="EC173" i="2"/>
  <c r="ED173" i="2" s="1"/>
  <c r="EA174" i="2"/>
  <c r="EC174" i="2"/>
  <c r="ED174" i="2" s="1"/>
  <c r="EA175" i="2"/>
  <c r="EE175" i="2" s="1"/>
  <c r="EC175" i="2"/>
  <c r="EA176" i="2"/>
  <c r="EC176" i="2"/>
  <c r="ED176" i="2"/>
  <c r="EF176" i="2" s="1"/>
  <c r="EG176" i="2" s="1"/>
  <c r="EE176" i="2"/>
  <c r="EA177" i="2"/>
  <c r="EC177" i="2"/>
  <c r="ED177" i="2"/>
  <c r="EE177" i="2"/>
  <c r="EF177" i="2"/>
  <c r="EG177" i="2"/>
  <c r="EA178" i="2"/>
  <c r="EE178" i="2" s="1"/>
  <c r="EC178" i="2"/>
  <c r="ED178" i="2" s="1"/>
  <c r="EF178" i="2" s="1"/>
  <c r="EG178" i="2" s="1"/>
  <c r="EA179" i="2"/>
  <c r="EE179" i="2" s="1"/>
  <c r="EC179" i="2"/>
  <c r="ED179" i="2"/>
  <c r="EF179" i="2" s="1"/>
  <c r="EG179" i="2" s="1"/>
  <c r="EA180" i="2"/>
  <c r="EC180" i="2"/>
  <c r="ED180" i="2"/>
  <c r="EE180" i="2"/>
  <c r="EF180" i="2"/>
  <c r="EG180" i="2"/>
  <c r="EA181" i="2"/>
  <c r="ED181" i="2" s="1"/>
  <c r="EC181" i="2"/>
  <c r="EA182" i="2"/>
  <c r="EC182" i="2"/>
  <c r="ED182" i="2" s="1"/>
  <c r="EA183" i="2"/>
  <c r="EC183" i="2"/>
  <c r="ED183" i="2" s="1"/>
  <c r="EE183" i="2"/>
  <c r="EF183" i="2"/>
  <c r="EG183" i="2" s="1"/>
  <c r="EA184" i="2"/>
  <c r="EE184" i="2" s="1"/>
  <c r="EC184" i="2"/>
  <c r="ED184" i="2" s="1"/>
  <c r="EF184" i="2" s="1"/>
  <c r="EG184" i="2" s="1"/>
  <c r="EA185" i="2"/>
  <c r="ED185" i="2" s="1"/>
  <c r="EC185" i="2"/>
  <c r="EA186" i="2"/>
  <c r="EE186" i="2" s="1"/>
  <c r="EC186" i="2"/>
  <c r="ED186" i="2"/>
  <c r="EF186" i="2"/>
  <c r="EG186" i="2" s="1"/>
  <c r="EA187" i="2"/>
  <c r="EC187" i="2"/>
  <c r="ED187" i="2"/>
  <c r="EE187" i="2"/>
  <c r="EF187" i="2" s="1"/>
  <c r="EG187" i="2" s="1"/>
  <c r="EA188" i="2"/>
  <c r="EC188" i="2"/>
  <c r="ED188" i="2" s="1"/>
  <c r="EA189" i="2"/>
  <c r="EC189" i="2"/>
  <c r="ED189" i="2"/>
  <c r="EE189" i="2"/>
  <c r="EA190" i="2"/>
  <c r="EC190" i="2"/>
  <c r="ED190" i="2"/>
  <c r="EA191" i="2"/>
  <c r="EE191" i="2" s="1"/>
  <c r="EC191" i="2"/>
  <c r="EA192" i="2"/>
  <c r="EC192" i="2"/>
  <c r="ED192" i="2"/>
  <c r="EF192" i="2" s="1"/>
  <c r="EG192" i="2" s="1"/>
  <c r="EE192" i="2"/>
  <c r="EA193" i="2"/>
  <c r="EC193" i="2"/>
  <c r="ED193" i="2"/>
  <c r="EE193" i="2"/>
  <c r="EF193" i="2"/>
  <c r="EG193" i="2"/>
  <c r="EA194" i="2"/>
  <c r="EE194" i="2" s="1"/>
  <c r="EC194" i="2"/>
  <c r="ED194" i="2" s="1"/>
  <c r="EF194" i="2" s="1"/>
  <c r="EG194" i="2" s="1"/>
  <c r="EA195" i="2"/>
  <c r="EE195" i="2" s="1"/>
  <c r="EC195" i="2"/>
  <c r="ED195" i="2"/>
  <c r="EF195" i="2" s="1"/>
  <c r="EG195" i="2" s="1"/>
  <c r="EA196" i="2"/>
  <c r="EC196" i="2"/>
  <c r="ED196" i="2"/>
  <c r="EE196" i="2"/>
  <c r="EF196" i="2"/>
  <c r="EG196" i="2"/>
  <c r="EA197" i="2"/>
  <c r="ED197" i="2" s="1"/>
  <c r="EC197" i="2"/>
  <c r="EA198" i="2"/>
  <c r="EC198" i="2"/>
  <c r="ED198" i="2" s="1"/>
  <c r="EA199" i="2"/>
  <c r="EC199" i="2"/>
  <c r="ED199" i="2" s="1"/>
  <c r="EF199" i="2" s="1"/>
  <c r="EG199" i="2" s="1"/>
  <c r="EE199" i="2"/>
  <c r="EA200" i="2"/>
  <c r="EE200" i="2" s="1"/>
  <c r="EC200" i="2"/>
  <c r="ED200" i="2" s="1"/>
  <c r="EF200" i="2" s="1"/>
  <c r="EG200" i="2" s="1"/>
  <c r="EA201" i="2"/>
  <c r="ED201" i="2" s="1"/>
  <c r="EC201" i="2"/>
  <c r="EA202" i="2"/>
  <c r="EE202" i="2" s="1"/>
  <c r="EC202" i="2"/>
  <c r="ED202" i="2"/>
  <c r="EF202" i="2"/>
  <c r="EG202" i="2" s="1"/>
  <c r="EA203" i="2"/>
  <c r="EC203" i="2"/>
  <c r="ED203" i="2"/>
  <c r="EE203" i="2"/>
  <c r="EF203" i="2" s="1"/>
  <c r="EG203" i="2" s="1"/>
  <c r="EA204" i="2"/>
  <c r="EC204" i="2"/>
  <c r="ED204" i="2" s="1"/>
  <c r="EA205" i="2"/>
  <c r="EC205" i="2"/>
  <c r="ED205" i="2"/>
  <c r="EE205" i="2"/>
  <c r="EA206" i="2"/>
  <c r="EC206" i="2"/>
  <c r="ED206" i="2"/>
  <c r="EA207" i="2"/>
  <c r="EE207" i="2" s="1"/>
  <c r="EC207" i="2"/>
  <c r="EA208" i="2"/>
  <c r="EC208" i="2"/>
  <c r="ED208" i="2"/>
  <c r="EF208" i="2" s="1"/>
  <c r="EG208" i="2" s="1"/>
  <c r="EE208" i="2"/>
  <c r="EA209" i="2"/>
  <c r="EC209" i="2"/>
  <c r="ED209" i="2"/>
  <c r="EE209" i="2"/>
  <c r="EF209" i="2"/>
  <c r="EG209" i="2"/>
  <c r="EA210" i="2"/>
  <c r="EE210" i="2" s="1"/>
  <c r="EC210" i="2"/>
  <c r="ED210" i="2" s="1"/>
  <c r="EF210" i="2" s="1"/>
  <c r="EG210" i="2" s="1"/>
  <c r="EA211" i="2"/>
  <c r="EC211" i="2"/>
  <c r="EE211" i="2" s="1"/>
  <c r="ED211" i="2"/>
  <c r="EF211" i="2" s="1"/>
  <c r="EG211" i="2" s="1"/>
  <c r="EA212" i="2"/>
  <c r="EC212" i="2"/>
  <c r="ED212" i="2"/>
  <c r="EE212" i="2"/>
  <c r="EF212" i="2"/>
  <c r="EG212" i="2"/>
  <c r="EA213" i="2"/>
  <c r="ED213" i="2" s="1"/>
  <c r="EC213" i="2"/>
  <c r="EA214" i="2"/>
  <c r="EC214" i="2"/>
  <c r="ED214" i="2" s="1"/>
  <c r="EA215" i="2"/>
  <c r="EC215" i="2"/>
  <c r="ED215" i="2" s="1"/>
  <c r="EE215" i="2"/>
  <c r="EF215" i="2"/>
  <c r="EG215" i="2" s="1"/>
  <c r="EA216" i="2"/>
  <c r="EE216" i="2" s="1"/>
  <c r="EC216" i="2"/>
  <c r="ED216" i="2" s="1"/>
  <c r="EF216" i="2" s="1"/>
  <c r="EG216" i="2" s="1"/>
  <c r="EA217" i="2"/>
  <c r="ED217" i="2" s="1"/>
  <c r="EC217" i="2"/>
  <c r="EA218" i="2"/>
  <c r="EE218" i="2" s="1"/>
  <c r="EC218" i="2"/>
  <c r="ED218" i="2"/>
  <c r="EF218" i="2"/>
  <c r="EG218" i="2" s="1"/>
  <c r="EA219" i="2"/>
  <c r="EC219" i="2"/>
  <c r="ED219" i="2"/>
  <c r="EE219" i="2"/>
  <c r="EF219" i="2" s="1"/>
  <c r="EG219" i="2" s="1"/>
  <c r="EA220" i="2"/>
  <c r="EC220" i="2"/>
  <c r="ED220" i="2" s="1"/>
  <c r="EA221" i="2"/>
  <c r="EC221" i="2"/>
  <c r="ED221" i="2"/>
  <c r="EE221" i="2"/>
  <c r="EA222" i="2"/>
  <c r="EC222" i="2"/>
  <c r="ED222" i="2"/>
  <c r="EA223" i="2"/>
  <c r="EE223" i="2" s="1"/>
  <c r="EC223" i="2"/>
  <c r="EA224" i="2"/>
  <c r="EC224" i="2"/>
  <c r="ED224" i="2"/>
  <c r="EF224" i="2" s="1"/>
  <c r="EG224" i="2" s="1"/>
  <c r="EE224" i="2"/>
  <c r="EA225" i="2"/>
  <c r="EC225" i="2"/>
  <c r="ED225" i="2"/>
  <c r="EE225" i="2"/>
  <c r="EF225" i="2"/>
  <c r="EG225" i="2"/>
  <c r="EA226" i="2"/>
  <c r="EE226" i="2" s="1"/>
  <c r="EC226" i="2"/>
  <c r="EA227" i="2"/>
  <c r="EC227" i="2"/>
  <c r="EE227" i="2" s="1"/>
  <c r="ED227" i="2"/>
  <c r="EF227" i="2" s="1"/>
  <c r="EG227" i="2" s="1"/>
  <c r="EA228" i="2"/>
  <c r="EC228" i="2"/>
  <c r="ED228" i="2"/>
  <c r="EE228" i="2"/>
  <c r="EF228" i="2"/>
  <c r="EG228" i="2"/>
  <c r="EA229" i="2"/>
  <c r="ED229" i="2" s="1"/>
  <c r="EC229" i="2"/>
  <c r="EA230" i="2"/>
  <c r="EC230" i="2"/>
  <c r="ED230" i="2" s="1"/>
  <c r="EA231" i="2"/>
  <c r="EC231" i="2"/>
  <c r="ED231" i="2" s="1"/>
  <c r="EF231" i="2" s="1"/>
  <c r="EG231" i="2" s="1"/>
  <c r="EE231" i="2"/>
  <c r="EA232" i="2"/>
  <c r="ED232" i="2" s="1"/>
  <c r="EC232" i="2"/>
  <c r="EA233" i="2"/>
  <c r="EC233" i="2"/>
  <c r="EA234" i="2"/>
  <c r="EE234" i="2" s="1"/>
  <c r="EC234" i="2"/>
  <c r="ED234" i="2"/>
  <c r="EF234" i="2"/>
  <c r="EG234" i="2" s="1"/>
  <c r="EA235" i="2"/>
  <c r="EC235" i="2"/>
  <c r="ED235" i="2"/>
  <c r="EE235" i="2"/>
  <c r="EF235" i="2" s="1"/>
  <c r="EG235" i="2" s="1"/>
  <c r="EA236" i="2"/>
  <c r="EC236" i="2"/>
  <c r="ED236" i="2" s="1"/>
  <c r="EA237" i="2"/>
  <c r="EC237" i="2"/>
  <c r="ED237" i="2"/>
  <c r="EE237" i="2"/>
  <c r="EA238" i="2"/>
  <c r="EC238" i="2"/>
  <c r="ED238" i="2"/>
  <c r="EA239" i="2"/>
  <c r="EE239" i="2" s="1"/>
  <c r="EC239" i="2"/>
  <c r="ED239" i="2" s="1"/>
  <c r="EF239" i="2" s="1"/>
  <c r="EG239" i="2" s="1"/>
  <c r="EA240" i="2"/>
  <c r="EC240" i="2"/>
  <c r="ED240" i="2"/>
  <c r="EE240" i="2"/>
  <c r="EA241" i="2"/>
  <c r="EC241" i="2"/>
  <c r="ED241" i="2"/>
  <c r="EE241" i="2"/>
  <c r="EF241" i="2"/>
  <c r="EG241" i="2"/>
  <c r="EA242" i="2"/>
  <c r="ED242" i="2" s="1"/>
  <c r="EC242" i="2"/>
  <c r="EA243" i="2"/>
  <c r="EC243" i="2"/>
  <c r="ED243" i="2" s="1"/>
  <c r="EA244" i="2"/>
  <c r="EC244" i="2"/>
  <c r="ED244" i="2"/>
  <c r="EE244" i="2"/>
  <c r="EA245" i="2"/>
  <c r="EC245" i="2"/>
  <c r="ED245" i="2"/>
  <c r="EE245" i="2"/>
  <c r="EF245" i="2"/>
  <c r="EG245" i="2"/>
  <c r="EA246" i="2"/>
  <c r="EE246" i="2" s="1"/>
  <c r="EC246" i="2"/>
  <c r="EA247" i="2"/>
  <c r="EC247" i="2"/>
  <c r="ED247" i="2" s="1"/>
  <c r="EA248" i="2"/>
  <c r="EC248" i="2"/>
  <c r="ED248" i="2"/>
  <c r="EE248" i="2"/>
  <c r="EA249" i="2"/>
  <c r="EC249" i="2"/>
  <c r="ED249" i="2"/>
  <c r="EE249" i="2"/>
  <c r="EF249" i="2"/>
  <c r="EG249" i="2"/>
  <c r="EA250" i="2"/>
  <c r="EE250" i="2" s="1"/>
  <c r="EC250" i="2"/>
  <c r="ED250" i="2" s="1"/>
  <c r="EF250" i="2" s="1"/>
  <c r="EG250" i="2" s="1"/>
  <c r="EA251" i="2"/>
  <c r="EC251" i="2"/>
  <c r="ED251" i="2" s="1"/>
  <c r="EA252" i="2"/>
  <c r="EC252" i="2"/>
  <c r="ED252" i="2"/>
  <c r="EE252" i="2"/>
  <c r="EA253" i="2"/>
  <c r="EC253" i="2"/>
  <c r="ED253" i="2"/>
  <c r="EE253" i="2"/>
  <c r="EF253" i="2"/>
  <c r="EG253" i="2"/>
  <c r="EG5" i="2"/>
  <c r="EF5" i="2"/>
  <c r="EE5" i="2"/>
  <c r="ED5" i="2"/>
  <c r="EC5" i="2"/>
  <c r="EA5" i="2"/>
  <c r="DZ7" i="2"/>
  <c r="DZ8" i="2"/>
  <c r="DZ9" i="2"/>
  <c r="DZ10" i="2"/>
  <c r="DZ11" i="2"/>
  <c r="DZ12" i="2"/>
  <c r="DZ13" i="2"/>
  <c r="DZ14" i="2"/>
  <c r="DZ15" i="2"/>
  <c r="DZ16" i="2"/>
  <c r="DZ17" i="2"/>
  <c r="DZ18" i="2"/>
  <c r="DZ19" i="2"/>
  <c r="DZ20" i="2"/>
  <c r="DZ21" i="2"/>
  <c r="DZ22" i="2"/>
  <c r="DZ23" i="2"/>
  <c r="DZ24" i="2"/>
  <c r="DZ25" i="2"/>
  <c r="DZ26" i="2"/>
  <c r="DZ27" i="2"/>
  <c r="DZ28" i="2"/>
  <c r="DZ29" i="2"/>
  <c r="DZ30" i="2"/>
  <c r="DZ31" i="2"/>
  <c r="DZ32" i="2"/>
  <c r="DZ33" i="2"/>
  <c r="DZ34" i="2"/>
  <c r="DZ35" i="2"/>
  <c r="DZ36" i="2"/>
  <c r="DZ37" i="2"/>
  <c r="DZ38" i="2"/>
  <c r="DZ39" i="2"/>
  <c r="DZ40" i="2"/>
  <c r="DZ41" i="2"/>
  <c r="DZ44" i="2"/>
  <c r="DZ45" i="2"/>
  <c r="DZ46" i="2"/>
  <c r="DZ48" i="2"/>
  <c r="DZ49" i="2"/>
  <c r="DZ50" i="2"/>
  <c r="DZ51" i="2"/>
  <c r="DZ52" i="2"/>
  <c r="DZ53" i="2"/>
  <c r="DZ54" i="2"/>
  <c r="DZ55" i="2"/>
  <c r="DZ56" i="2"/>
  <c r="DZ57" i="2"/>
  <c r="DZ58" i="2"/>
  <c r="DZ59" i="2"/>
  <c r="DZ60" i="2"/>
  <c r="DZ61" i="2"/>
  <c r="DZ62" i="2"/>
  <c r="DZ63" i="2"/>
  <c r="DZ64" i="2"/>
  <c r="DZ65" i="2"/>
  <c r="DZ66" i="2"/>
  <c r="DZ67" i="2"/>
  <c r="DZ68" i="2"/>
  <c r="DZ69" i="2"/>
  <c r="DZ70" i="2"/>
  <c r="DZ71" i="2"/>
  <c r="DZ72" i="2"/>
  <c r="DZ73" i="2"/>
  <c r="DZ74" i="2"/>
  <c r="DZ75" i="2"/>
  <c r="DZ76" i="2"/>
  <c r="DZ77" i="2"/>
  <c r="DZ78" i="2"/>
  <c r="DZ79" i="2"/>
  <c r="DZ80" i="2"/>
  <c r="DZ81" i="2"/>
  <c r="DZ82" i="2"/>
  <c r="DZ83" i="2"/>
  <c r="DZ84" i="2"/>
  <c r="DZ85" i="2"/>
  <c r="DZ86" i="2"/>
  <c r="DZ87" i="2"/>
  <c r="DZ88" i="2"/>
  <c r="DZ89" i="2"/>
  <c r="DZ90" i="2"/>
  <c r="DZ91" i="2"/>
  <c r="DZ92" i="2"/>
  <c r="DZ93" i="2"/>
  <c r="DZ94" i="2"/>
  <c r="DZ95" i="2"/>
  <c r="DZ96" i="2"/>
  <c r="DZ97" i="2"/>
  <c r="DZ98" i="2"/>
  <c r="DZ99" i="2"/>
  <c r="DZ100" i="2"/>
  <c r="DZ101" i="2"/>
  <c r="DZ102" i="2"/>
  <c r="DZ103" i="2"/>
  <c r="DZ104" i="2"/>
  <c r="DZ105" i="2"/>
  <c r="DZ106" i="2"/>
  <c r="DZ107" i="2"/>
  <c r="DZ108" i="2"/>
  <c r="DZ109" i="2"/>
  <c r="DZ110" i="2"/>
  <c r="DZ111" i="2"/>
  <c r="DZ112" i="2"/>
  <c r="DZ113" i="2"/>
  <c r="DZ114" i="2"/>
  <c r="DZ115" i="2"/>
  <c r="DZ116" i="2"/>
  <c r="DZ117" i="2"/>
  <c r="DZ118" i="2"/>
  <c r="DZ119" i="2"/>
  <c r="DZ120" i="2"/>
  <c r="DZ121" i="2"/>
  <c r="DZ122" i="2"/>
  <c r="DZ123" i="2"/>
  <c r="DZ124" i="2"/>
  <c r="DZ125" i="2"/>
  <c r="DZ126" i="2"/>
  <c r="DZ127" i="2"/>
  <c r="DZ128" i="2"/>
  <c r="DZ129" i="2"/>
  <c r="DZ130" i="2"/>
  <c r="DZ131" i="2"/>
  <c r="DZ132" i="2"/>
  <c r="DZ133" i="2"/>
  <c r="DZ134" i="2"/>
  <c r="DZ135" i="2"/>
  <c r="DZ136" i="2"/>
  <c r="DZ137" i="2"/>
  <c r="DZ138" i="2"/>
  <c r="DZ139" i="2"/>
  <c r="DZ140" i="2"/>
  <c r="DZ141" i="2"/>
  <c r="DZ142" i="2"/>
  <c r="DZ143" i="2"/>
  <c r="DZ144" i="2"/>
  <c r="DZ145" i="2"/>
  <c r="DZ146" i="2"/>
  <c r="DZ147" i="2"/>
  <c r="DZ148" i="2"/>
  <c r="DZ149" i="2"/>
  <c r="DZ150" i="2"/>
  <c r="DZ151" i="2"/>
  <c r="DZ152" i="2"/>
  <c r="DZ153" i="2"/>
  <c r="DZ154" i="2"/>
  <c r="DZ155" i="2"/>
  <c r="DZ156" i="2"/>
  <c r="DZ157" i="2"/>
  <c r="DZ158" i="2"/>
  <c r="DZ159" i="2"/>
  <c r="DZ160" i="2"/>
  <c r="DZ161" i="2"/>
  <c r="DZ162" i="2"/>
  <c r="DZ163" i="2"/>
  <c r="DZ164" i="2"/>
  <c r="DZ165" i="2"/>
  <c r="DZ166" i="2"/>
  <c r="DZ167" i="2"/>
  <c r="DZ168" i="2"/>
  <c r="DZ169" i="2"/>
  <c r="DZ170" i="2"/>
  <c r="DZ171" i="2"/>
  <c r="DZ172" i="2"/>
  <c r="DZ173" i="2"/>
  <c r="DZ174" i="2"/>
  <c r="DZ175" i="2"/>
  <c r="DZ176" i="2"/>
  <c r="DZ177" i="2"/>
  <c r="DZ178" i="2"/>
  <c r="DZ179" i="2"/>
  <c r="DZ180" i="2"/>
  <c r="DZ181" i="2"/>
  <c r="DZ182" i="2"/>
  <c r="DZ183" i="2"/>
  <c r="DZ184" i="2"/>
  <c r="DZ185" i="2"/>
  <c r="DZ186" i="2"/>
  <c r="DZ187" i="2"/>
  <c r="DZ188" i="2"/>
  <c r="DZ189" i="2"/>
  <c r="DZ190" i="2"/>
  <c r="DZ191" i="2"/>
  <c r="DZ192" i="2"/>
  <c r="DZ193" i="2"/>
  <c r="DZ194" i="2"/>
  <c r="DZ195" i="2"/>
  <c r="DZ196" i="2"/>
  <c r="DZ197" i="2"/>
  <c r="DZ198" i="2"/>
  <c r="DZ199" i="2"/>
  <c r="DZ200" i="2"/>
  <c r="DZ201" i="2"/>
  <c r="DZ202" i="2"/>
  <c r="DZ203" i="2"/>
  <c r="DZ204" i="2"/>
  <c r="DZ205" i="2"/>
  <c r="DZ206" i="2"/>
  <c r="DZ207" i="2"/>
  <c r="DZ208" i="2"/>
  <c r="DZ209" i="2"/>
  <c r="DZ210" i="2"/>
  <c r="DZ211" i="2"/>
  <c r="DZ212" i="2"/>
  <c r="DZ213" i="2"/>
  <c r="DZ214" i="2"/>
  <c r="DZ215" i="2"/>
  <c r="DZ216" i="2"/>
  <c r="DZ217" i="2"/>
  <c r="DZ218" i="2"/>
  <c r="DZ219" i="2"/>
  <c r="DZ220" i="2"/>
  <c r="DZ221" i="2"/>
  <c r="DZ222" i="2"/>
  <c r="DZ223" i="2"/>
  <c r="DZ224" i="2"/>
  <c r="DZ225" i="2"/>
  <c r="DZ226" i="2"/>
  <c r="DZ227" i="2"/>
  <c r="DZ228" i="2"/>
  <c r="DZ229" i="2"/>
  <c r="DZ230" i="2"/>
  <c r="DZ231" i="2"/>
  <c r="DZ232" i="2"/>
  <c r="DZ233" i="2"/>
  <c r="DZ234" i="2"/>
  <c r="DZ235" i="2"/>
  <c r="DZ236" i="2"/>
  <c r="DZ237" i="2"/>
  <c r="DZ238" i="2"/>
  <c r="DZ239" i="2"/>
  <c r="DZ240" i="2"/>
  <c r="DZ241" i="2"/>
  <c r="DZ242" i="2"/>
  <c r="DZ243" i="2"/>
  <c r="DZ244" i="2"/>
  <c r="DZ245" i="2"/>
  <c r="DZ246" i="2"/>
  <c r="DZ247" i="2"/>
  <c r="DZ248" i="2"/>
  <c r="DZ249" i="2"/>
  <c r="DZ250" i="2"/>
  <c r="DZ251" i="2"/>
  <c r="DZ252" i="2"/>
  <c r="DZ253" i="2"/>
  <c r="DZ6" i="2"/>
  <c r="DZ5" i="2"/>
  <c r="DX253" i="2"/>
  <c r="DX6" i="2"/>
  <c r="DX7" i="2"/>
  <c r="DX8" i="2"/>
  <c r="DX9" i="2"/>
  <c r="DX10" i="2"/>
  <c r="DX11" i="2"/>
  <c r="DX12" i="2"/>
  <c r="DX13" i="2"/>
  <c r="DX14" i="2"/>
  <c r="DX15" i="2"/>
  <c r="DX16" i="2"/>
  <c r="DX17" i="2"/>
  <c r="DX18" i="2"/>
  <c r="DX19" i="2"/>
  <c r="DX20" i="2"/>
  <c r="DX21" i="2"/>
  <c r="DX22" i="2"/>
  <c r="DX23" i="2"/>
  <c r="DX24" i="2"/>
  <c r="DX25" i="2"/>
  <c r="DX26" i="2"/>
  <c r="DX27" i="2"/>
  <c r="DX28" i="2"/>
  <c r="DX29" i="2"/>
  <c r="DX30" i="2"/>
  <c r="DX31" i="2"/>
  <c r="DX32" i="2"/>
  <c r="DX33" i="2"/>
  <c r="DX34" i="2"/>
  <c r="DX35" i="2"/>
  <c r="DX36" i="2"/>
  <c r="DX37" i="2"/>
  <c r="DX38" i="2"/>
  <c r="DX39" i="2"/>
  <c r="DX40" i="2"/>
  <c r="DX41" i="2"/>
  <c r="DX44" i="2"/>
  <c r="DX45" i="2"/>
  <c r="DX46" i="2"/>
  <c r="DX48" i="2"/>
  <c r="DX49" i="2"/>
  <c r="DX50" i="2"/>
  <c r="DX51" i="2"/>
  <c r="DX52" i="2"/>
  <c r="DX53" i="2"/>
  <c r="DX54" i="2"/>
  <c r="DX55" i="2"/>
  <c r="DX56" i="2"/>
  <c r="DX57" i="2"/>
  <c r="DX58" i="2"/>
  <c r="DX59" i="2"/>
  <c r="DX60" i="2"/>
  <c r="DX61" i="2"/>
  <c r="DX62" i="2"/>
  <c r="DX63" i="2"/>
  <c r="DX64" i="2"/>
  <c r="DX65" i="2"/>
  <c r="DX66" i="2"/>
  <c r="DX67" i="2"/>
  <c r="DX68" i="2"/>
  <c r="DX69" i="2"/>
  <c r="DX70" i="2"/>
  <c r="DX71" i="2"/>
  <c r="DX72" i="2"/>
  <c r="DX73" i="2"/>
  <c r="DX74" i="2"/>
  <c r="DX75" i="2"/>
  <c r="DX76" i="2"/>
  <c r="DX77" i="2"/>
  <c r="DX78" i="2"/>
  <c r="DX79" i="2"/>
  <c r="DX80" i="2"/>
  <c r="DX81" i="2"/>
  <c r="DX82" i="2"/>
  <c r="DX83" i="2"/>
  <c r="DX84" i="2"/>
  <c r="DX85" i="2"/>
  <c r="DX86" i="2"/>
  <c r="DX87" i="2"/>
  <c r="DX88" i="2"/>
  <c r="DX89" i="2"/>
  <c r="DX90" i="2"/>
  <c r="DX91" i="2"/>
  <c r="DX92" i="2"/>
  <c r="DX93" i="2"/>
  <c r="DX94" i="2"/>
  <c r="DX95" i="2"/>
  <c r="DX96" i="2"/>
  <c r="DX97" i="2"/>
  <c r="DX98" i="2"/>
  <c r="DX99" i="2"/>
  <c r="DX100" i="2"/>
  <c r="DX101" i="2"/>
  <c r="DX102" i="2"/>
  <c r="DX103" i="2"/>
  <c r="DX104" i="2"/>
  <c r="DX105" i="2"/>
  <c r="DX106" i="2"/>
  <c r="DX107" i="2"/>
  <c r="DX108" i="2"/>
  <c r="DX109" i="2"/>
  <c r="DX110" i="2"/>
  <c r="DX111" i="2"/>
  <c r="DX112" i="2"/>
  <c r="DX113" i="2"/>
  <c r="DX114" i="2"/>
  <c r="DX115" i="2"/>
  <c r="DX116" i="2"/>
  <c r="DX117" i="2"/>
  <c r="DX118" i="2"/>
  <c r="DX119" i="2"/>
  <c r="DX120" i="2"/>
  <c r="DX121" i="2"/>
  <c r="DX122" i="2"/>
  <c r="DX123" i="2"/>
  <c r="DX124" i="2"/>
  <c r="DX125" i="2"/>
  <c r="DX126" i="2"/>
  <c r="DX127" i="2"/>
  <c r="DX128" i="2"/>
  <c r="DX129" i="2"/>
  <c r="DX130" i="2"/>
  <c r="DX131" i="2"/>
  <c r="DX132" i="2"/>
  <c r="DX133" i="2"/>
  <c r="DX134" i="2"/>
  <c r="DX135" i="2"/>
  <c r="DX136" i="2"/>
  <c r="DX137" i="2"/>
  <c r="DX138" i="2"/>
  <c r="DX139" i="2"/>
  <c r="DX140" i="2"/>
  <c r="DX141" i="2"/>
  <c r="DX142" i="2"/>
  <c r="DX143" i="2"/>
  <c r="DX144" i="2"/>
  <c r="DX145" i="2"/>
  <c r="DX146" i="2"/>
  <c r="DX147" i="2"/>
  <c r="DX148" i="2"/>
  <c r="DX149" i="2"/>
  <c r="DX150" i="2"/>
  <c r="DX151" i="2"/>
  <c r="DX152" i="2"/>
  <c r="DX153" i="2"/>
  <c r="DX154" i="2"/>
  <c r="DX155" i="2"/>
  <c r="DX156" i="2"/>
  <c r="DX157" i="2"/>
  <c r="DX158" i="2"/>
  <c r="DX159" i="2"/>
  <c r="DX160" i="2"/>
  <c r="DX161" i="2"/>
  <c r="DX162" i="2"/>
  <c r="DX163" i="2"/>
  <c r="DX164" i="2"/>
  <c r="DX165" i="2"/>
  <c r="DX166" i="2"/>
  <c r="DX167" i="2"/>
  <c r="DX168" i="2"/>
  <c r="DX169" i="2"/>
  <c r="DX170" i="2"/>
  <c r="DX171" i="2"/>
  <c r="DX172" i="2"/>
  <c r="DX173" i="2"/>
  <c r="DX174" i="2"/>
  <c r="DX175" i="2"/>
  <c r="DX176" i="2"/>
  <c r="DX177" i="2"/>
  <c r="DX178" i="2"/>
  <c r="DX179" i="2"/>
  <c r="DX180" i="2"/>
  <c r="DX181" i="2"/>
  <c r="DX182" i="2"/>
  <c r="DX183" i="2"/>
  <c r="DX184" i="2"/>
  <c r="DX185" i="2"/>
  <c r="DX186" i="2"/>
  <c r="DX187" i="2"/>
  <c r="DX188" i="2"/>
  <c r="DX189" i="2"/>
  <c r="DX190" i="2"/>
  <c r="DX191" i="2"/>
  <c r="DX192" i="2"/>
  <c r="DX193" i="2"/>
  <c r="DX194" i="2"/>
  <c r="DX195" i="2"/>
  <c r="DX196" i="2"/>
  <c r="DX197" i="2"/>
  <c r="DX198" i="2"/>
  <c r="DX199" i="2"/>
  <c r="DX200" i="2"/>
  <c r="DX201" i="2"/>
  <c r="DX202" i="2"/>
  <c r="DX203" i="2"/>
  <c r="DX204" i="2"/>
  <c r="DX205" i="2"/>
  <c r="DX206" i="2"/>
  <c r="DX207" i="2"/>
  <c r="DX208" i="2"/>
  <c r="DX209" i="2"/>
  <c r="DX210" i="2"/>
  <c r="DX211" i="2"/>
  <c r="DX212" i="2"/>
  <c r="DX213" i="2"/>
  <c r="DX214" i="2"/>
  <c r="DX215" i="2"/>
  <c r="DX216" i="2"/>
  <c r="DX217" i="2"/>
  <c r="DX218" i="2"/>
  <c r="DX219" i="2"/>
  <c r="DX220" i="2"/>
  <c r="DX221" i="2"/>
  <c r="DX222" i="2"/>
  <c r="DX223" i="2"/>
  <c r="DX224" i="2"/>
  <c r="DX225" i="2"/>
  <c r="DX226" i="2"/>
  <c r="DX227" i="2"/>
  <c r="DX228" i="2"/>
  <c r="DX229" i="2"/>
  <c r="DX230" i="2"/>
  <c r="DX231" i="2"/>
  <c r="DX232" i="2"/>
  <c r="DX233" i="2"/>
  <c r="DX234" i="2"/>
  <c r="DX235" i="2"/>
  <c r="DX236" i="2"/>
  <c r="DX237" i="2"/>
  <c r="DX238" i="2"/>
  <c r="DX239" i="2"/>
  <c r="DX240" i="2"/>
  <c r="DX241" i="2"/>
  <c r="DX242" i="2"/>
  <c r="DX243" i="2"/>
  <c r="DX244" i="2"/>
  <c r="DX245" i="2"/>
  <c r="DX246" i="2"/>
  <c r="DX247" i="2"/>
  <c r="DX248" i="2"/>
  <c r="DX249" i="2"/>
  <c r="DX250" i="2"/>
  <c r="DX251" i="2"/>
  <c r="DX252" i="2"/>
  <c r="DX5" i="2"/>
  <c r="FC71" i="3"/>
  <c r="FC48" i="3"/>
  <c r="FC44" i="3"/>
  <c r="FC7" i="3"/>
  <c r="FC8" i="3"/>
  <c r="FC9" i="3" s="1"/>
  <c r="FC10" i="3" s="1"/>
  <c r="FC11" i="3" s="1"/>
  <c r="FC12" i="3" s="1"/>
  <c r="FC13" i="3" s="1"/>
  <c r="FC14" i="3" s="1"/>
  <c r="FC15" i="3" s="1"/>
  <c r="FC16" i="3" s="1"/>
  <c r="FC17" i="3" s="1"/>
  <c r="FC18" i="3" s="1"/>
  <c r="FC19" i="3" s="1"/>
  <c r="FC20" i="3" s="1"/>
  <c r="FC21" i="3" s="1"/>
  <c r="FC22" i="3" s="1"/>
  <c r="FC23" i="3" s="1"/>
  <c r="FC24" i="3" s="1"/>
  <c r="FC25" i="3" s="1"/>
  <c r="FC26" i="3" s="1"/>
  <c r="FC27" i="3" s="1"/>
  <c r="FC28" i="3" s="1"/>
  <c r="FC29" i="3" s="1"/>
  <c r="FC30" i="3" s="1"/>
  <c r="FC31" i="3" s="1"/>
  <c r="FC32" i="3" s="1"/>
  <c r="FC33" i="3" s="1"/>
  <c r="FC34" i="3" s="1"/>
  <c r="FC35" i="3" s="1"/>
  <c r="FC36" i="3" s="1"/>
  <c r="FC37" i="3" s="1"/>
  <c r="FC38" i="3" s="1"/>
  <c r="FC39" i="3" s="1"/>
  <c r="FC40" i="3" s="1"/>
  <c r="FC41" i="3" s="1"/>
  <c r="FC6" i="3"/>
  <c r="DW48" i="2"/>
  <c r="DW44" i="2"/>
  <c r="DW8" i="2"/>
  <c r="DW9" i="2" s="1"/>
  <c r="DW10" i="2" s="1"/>
  <c r="DW11" i="2" s="1"/>
  <c r="DW12" i="2" s="1"/>
  <c r="DW13" i="2" s="1"/>
  <c r="DW14" i="2" s="1"/>
  <c r="DW15" i="2" s="1"/>
  <c r="DW16" i="2" s="1"/>
  <c r="DW17" i="2" s="1"/>
  <c r="DW18" i="2" s="1"/>
  <c r="DW19" i="2" s="1"/>
  <c r="DW20" i="2" s="1"/>
  <c r="DW21" i="2" s="1"/>
  <c r="DW22" i="2" s="1"/>
  <c r="DW23" i="2" s="1"/>
  <c r="DW24" i="2" s="1"/>
  <c r="DW25" i="2" s="1"/>
  <c r="DW26" i="2" s="1"/>
  <c r="DW27" i="2" s="1"/>
  <c r="DW28" i="2" s="1"/>
  <c r="DW29" i="2" s="1"/>
  <c r="DW30" i="2" s="1"/>
  <c r="DW31" i="2" s="1"/>
  <c r="DW32" i="2" s="1"/>
  <c r="DW33" i="2" s="1"/>
  <c r="DW34" i="2" s="1"/>
  <c r="DW35" i="2" s="1"/>
  <c r="DW36" i="2" s="1"/>
  <c r="DW37" i="2" s="1"/>
  <c r="DW38" i="2" s="1"/>
  <c r="DW39" i="2" s="1"/>
  <c r="DW40" i="2" s="1"/>
  <c r="DW41" i="2" s="1"/>
  <c r="DW7" i="2"/>
  <c r="DW6" i="2"/>
  <c r="DW7" i="1"/>
  <c r="DW8" i="1" s="1"/>
  <c r="DW9" i="1" s="1"/>
  <c r="DW10" i="1" s="1"/>
  <c r="DW11" i="1" s="1"/>
  <c r="DW12" i="1" s="1"/>
  <c r="DW13" i="1" s="1"/>
  <c r="DW14" i="1" s="1"/>
  <c r="DW15" i="1" s="1"/>
  <c r="DW16" i="1" s="1"/>
  <c r="DW17" i="1" s="1"/>
  <c r="DW18" i="1" s="1"/>
  <c r="DW19" i="1" s="1"/>
  <c r="DW20" i="1" s="1"/>
  <c r="DW21" i="1" s="1"/>
  <c r="DW22" i="1" s="1"/>
  <c r="DW23" i="1" s="1"/>
  <c r="DW24" i="1" s="1"/>
  <c r="DW25" i="1" s="1"/>
  <c r="DW26" i="1" s="1"/>
  <c r="DW27" i="1" s="1"/>
  <c r="DW28" i="1" s="1"/>
  <c r="DW29" i="1" s="1"/>
  <c r="DW30" i="1" s="1"/>
  <c r="DW31" i="1" s="1"/>
  <c r="DW32" i="1" s="1"/>
  <c r="DW33" i="1" s="1"/>
  <c r="DW34" i="1" s="1"/>
  <c r="DW35" i="1" s="1"/>
  <c r="DW36" i="1" s="1"/>
  <c r="DW37" i="1" s="1"/>
  <c r="DW38" i="1" s="1"/>
  <c r="DW39" i="1" s="1"/>
  <c r="DW40" i="1" s="1"/>
  <c r="DW41" i="1" s="1"/>
  <c r="DW44" i="1" s="1"/>
  <c r="DW45" i="1" s="1"/>
  <c r="DW46" i="1" s="1"/>
  <c r="DW48" i="1" s="1"/>
  <c r="DW49" i="1" s="1"/>
  <c r="DW50" i="1" s="1"/>
  <c r="DW51" i="1" s="1"/>
  <c r="DW52" i="1" s="1"/>
  <c r="DW53" i="1" s="1"/>
  <c r="DW54" i="1" s="1"/>
  <c r="DW55" i="1" s="1"/>
  <c r="DW56" i="1" s="1"/>
  <c r="DW57" i="1" s="1"/>
  <c r="DW58" i="1" s="1"/>
  <c r="DW59" i="1" s="1"/>
  <c r="DW60" i="1" s="1"/>
  <c r="DW61" i="1" s="1"/>
  <c r="DW62" i="1" s="1"/>
  <c r="DW63" i="1" s="1"/>
  <c r="DW64" i="1" s="1"/>
  <c r="DW65" i="1" s="1"/>
  <c r="DW66" i="1" s="1"/>
  <c r="DW67" i="1" s="1"/>
  <c r="DW68" i="1" s="1"/>
  <c r="DW69" i="1" s="1"/>
  <c r="DW70" i="1" s="1"/>
  <c r="DW71" i="1" s="1"/>
  <c r="DW72" i="1" s="1"/>
  <c r="DW73" i="1" s="1"/>
  <c r="DW74" i="1" s="1"/>
  <c r="DW75" i="1" s="1"/>
  <c r="DW76" i="1" s="1"/>
  <c r="DW77" i="1" s="1"/>
  <c r="DW78" i="1" s="1"/>
  <c r="DW79" i="1" s="1"/>
  <c r="DW80" i="1" s="1"/>
  <c r="DW81" i="1" s="1"/>
  <c r="DW82" i="1" s="1"/>
  <c r="DW83" i="1" s="1"/>
  <c r="DW84" i="1" s="1"/>
  <c r="DW85" i="1" s="1"/>
  <c r="DW86" i="1" s="1"/>
  <c r="DW87" i="1" s="1"/>
  <c r="DW88" i="1" s="1"/>
  <c r="DW89" i="1" s="1"/>
  <c r="DW90" i="1" s="1"/>
  <c r="DW91" i="1" s="1"/>
  <c r="DW92" i="1" s="1"/>
  <c r="DW93" i="1" s="1"/>
  <c r="DW94" i="1" s="1"/>
  <c r="DW95" i="1" s="1"/>
  <c r="DW96" i="1" s="1"/>
  <c r="DW97" i="1" s="1"/>
  <c r="DW98" i="1" s="1"/>
  <c r="DW99" i="1" s="1"/>
  <c r="DW100" i="1" s="1"/>
  <c r="DW101" i="1" s="1"/>
  <c r="DW102" i="1" s="1"/>
  <c r="DW103" i="1" s="1"/>
  <c r="DW104" i="1" s="1"/>
  <c r="DW105" i="1" s="1"/>
  <c r="DW106" i="1" s="1"/>
  <c r="DW107" i="1" s="1"/>
  <c r="DW108" i="1" s="1"/>
  <c r="DW109" i="1" s="1"/>
  <c r="DW110" i="1" s="1"/>
  <c r="DW111" i="1" s="1"/>
  <c r="DW112" i="1" s="1"/>
  <c r="DW113" i="1" s="1"/>
  <c r="DW114" i="1" s="1"/>
  <c r="DW115" i="1" s="1"/>
  <c r="DW116" i="1" s="1"/>
  <c r="DW117" i="1" s="1"/>
  <c r="DW118" i="1" s="1"/>
  <c r="DW119" i="1" s="1"/>
  <c r="DW120" i="1" s="1"/>
  <c r="DW121" i="1" s="1"/>
  <c r="DW122" i="1" s="1"/>
  <c r="DW123" i="1" s="1"/>
  <c r="DW124" i="1" s="1"/>
  <c r="DW125" i="1" s="1"/>
  <c r="DW126" i="1" s="1"/>
  <c r="DW127" i="1" s="1"/>
  <c r="DW128" i="1" s="1"/>
  <c r="DW129" i="1" s="1"/>
  <c r="DW130" i="1" s="1"/>
  <c r="DW131" i="1" s="1"/>
  <c r="DW132" i="1" s="1"/>
  <c r="DW133" i="1" s="1"/>
  <c r="DW134" i="1" s="1"/>
  <c r="DW135" i="1" s="1"/>
  <c r="DW136" i="1" s="1"/>
  <c r="DW137" i="1" s="1"/>
  <c r="DW138" i="1" s="1"/>
  <c r="DW139" i="1" s="1"/>
  <c r="DW140" i="1" s="1"/>
  <c r="DW141" i="1" s="1"/>
  <c r="DW142" i="1" s="1"/>
  <c r="DW143" i="1" s="1"/>
  <c r="DW144" i="1" s="1"/>
  <c r="DW145" i="1" s="1"/>
  <c r="DW146" i="1" s="1"/>
  <c r="DW147" i="1" s="1"/>
  <c r="DW148" i="1" s="1"/>
  <c r="DW149" i="1" s="1"/>
  <c r="DW150" i="1" s="1"/>
  <c r="DW151" i="1" s="1"/>
  <c r="DW152" i="1" s="1"/>
  <c r="DW153" i="1" s="1"/>
  <c r="DW154" i="1" s="1"/>
  <c r="DW155" i="1" s="1"/>
  <c r="DW156" i="1" s="1"/>
  <c r="DW157" i="1" s="1"/>
  <c r="DW158" i="1" s="1"/>
  <c r="DW159" i="1" s="1"/>
  <c r="DW160" i="1" s="1"/>
  <c r="DW161" i="1" s="1"/>
  <c r="DW162" i="1" s="1"/>
  <c r="DW163" i="1" s="1"/>
  <c r="DW164" i="1" s="1"/>
  <c r="DW165" i="1" s="1"/>
  <c r="DW166" i="1" s="1"/>
  <c r="DW167" i="1" s="1"/>
  <c r="DW168" i="1" s="1"/>
  <c r="DW169" i="1" s="1"/>
  <c r="DW170" i="1" s="1"/>
  <c r="DW171" i="1" s="1"/>
  <c r="DW172" i="1" s="1"/>
  <c r="DW173" i="1" s="1"/>
  <c r="DW174" i="1" s="1"/>
  <c r="DW175" i="1" s="1"/>
  <c r="DW176" i="1" s="1"/>
  <c r="DW177" i="1" s="1"/>
  <c r="DW178" i="1" s="1"/>
  <c r="DW179" i="1" s="1"/>
  <c r="DW180" i="1" s="1"/>
  <c r="DW181" i="1" s="1"/>
  <c r="DW182" i="1" s="1"/>
  <c r="DW183" i="1" s="1"/>
  <c r="DW184" i="1" s="1"/>
  <c r="DW185" i="1" s="1"/>
  <c r="DW186" i="1" s="1"/>
  <c r="DW187" i="1" s="1"/>
  <c r="DW188" i="1" s="1"/>
  <c r="DW189" i="1" s="1"/>
  <c r="DW190" i="1" s="1"/>
  <c r="DW191" i="1" s="1"/>
  <c r="DW192" i="1" s="1"/>
  <c r="DW193" i="1" s="1"/>
  <c r="DW194" i="1" s="1"/>
  <c r="DW195" i="1" s="1"/>
  <c r="DW196" i="1" s="1"/>
  <c r="DW197" i="1" s="1"/>
  <c r="DW198" i="1" s="1"/>
  <c r="DW199" i="1" s="1"/>
  <c r="DW200" i="1" s="1"/>
  <c r="DW201" i="1" s="1"/>
  <c r="DW202" i="1" s="1"/>
  <c r="DW203" i="1" s="1"/>
  <c r="DW204" i="1" s="1"/>
  <c r="DW205" i="1" s="1"/>
  <c r="DW206" i="1" s="1"/>
  <c r="DW207" i="1" s="1"/>
  <c r="DW208" i="1" s="1"/>
  <c r="DW209" i="1" s="1"/>
  <c r="DW210" i="1" s="1"/>
  <c r="DW211" i="1" s="1"/>
  <c r="DW212" i="1" s="1"/>
  <c r="DW213" i="1" s="1"/>
  <c r="DW214" i="1" s="1"/>
  <c r="DW215" i="1" s="1"/>
  <c r="DW216" i="1" s="1"/>
  <c r="DW217" i="1" s="1"/>
  <c r="DW218" i="1" s="1"/>
  <c r="DW219" i="1" s="1"/>
  <c r="DW220" i="1" s="1"/>
  <c r="DW221" i="1" s="1"/>
  <c r="DW222" i="1" s="1"/>
  <c r="DW223" i="1" s="1"/>
  <c r="DW224" i="1" s="1"/>
  <c r="DW225" i="1" s="1"/>
  <c r="DW226" i="1" s="1"/>
  <c r="DW227" i="1" s="1"/>
  <c r="DW228" i="1" s="1"/>
  <c r="DW229" i="1" s="1"/>
  <c r="DW230" i="1" s="1"/>
  <c r="DW231" i="1" s="1"/>
  <c r="DW232" i="1" s="1"/>
  <c r="DW233" i="1" s="1"/>
  <c r="DW234" i="1" s="1"/>
  <c r="DW235" i="1" s="1"/>
  <c r="DW236" i="1" s="1"/>
  <c r="DW237" i="1" s="1"/>
  <c r="DW238" i="1" s="1"/>
  <c r="DW239" i="1" s="1"/>
  <c r="DW240" i="1" s="1"/>
  <c r="DW241" i="1" s="1"/>
  <c r="DW242" i="1" s="1"/>
  <c r="DW243" i="1" s="1"/>
  <c r="DW244" i="1" s="1"/>
  <c r="DW245" i="1" s="1"/>
  <c r="DW246" i="1" s="1"/>
  <c r="DW247" i="1" s="1"/>
  <c r="DW248" i="1" s="1"/>
  <c r="DW249" i="1" s="1"/>
  <c r="DW250" i="1" s="1"/>
  <c r="DW251" i="1" s="1"/>
  <c r="DW252" i="1" s="1"/>
  <c r="DW253" i="1" s="1"/>
  <c r="DW6" i="1"/>
  <c r="U31" i="6"/>
  <c r="U30" i="6"/>
  <c r="U29" i="6"/>
  <c r="U29" i="5"/>
  <c r="U28" i="5"/>
  <c r="U28" i="4"/>
  <c r="U27" i="4"/>
  <c r="FT278" i="3"/>
  <c r="FT279" i="3" s="1"/>
  <c r="FS278" i="3"/>
  <c r="FS279" i="3" s="1"/>
  <c r="FR278" i="3"/>
  <c r="FR279" i="3" s="1"/>
  <c r="FQ278" i="3"/>
  <c r="FQ279" i="3" s="1"/>
  <c r="FP278" i="3"/>
  <c r="FP279" i="3" s="1"/>
  <c r="FO278" i="3"/>
  <c r="FO279" i="3" s="1"/>
  <c r="FN278" i="3"/>
  <c r="FN279" i="3" s="1"/>
  <c r="FM278" i="3"/>
  <c r="FM279" i="3" s="1"/>
  <c r="FL278" i="3"/>
  <c r="FL279" i="3" s="1"/>
  <c r="FK278" i="3"/>
  <c r="FK279" i="3" s="1"/>
  <c r="FJ278" i="3"/>
  <c r="FJ279" i="3" s="1"/>
  <c r="FI278" i="3"/>
  <c r="FI279" i="3" s="1"/>
  <c r="FH278" i="3"/>
  <c r="FH279" i="3" s="1"/>
  <c r="FG278" i="3"/>
  <c r="FG279" i="3" s="1"/>
  <c r="FF278" i="3"/>
  <c r="FF279" i="3" s="1"/>
  <c r="FT277" i="3"/>
  <c r="FS277" i="3"/>
  <c r="FR277" i="3"/>
  <c r="FQ277" i="3"/>
  <c r="FP277" i="3"/>
  <c r="FO277" i="3"/>
  <c r="FN277" i="3"/>
  <c r="FM277" i="3"/>
  <c r="FL277" i="3"/>
  <c r="FK277" i="3"/>
  <c r="FJ277" i="3"/>
  <c r="FI277" i="3"/>
  <c r="FH277" i="3"/>
  <c r="FG277" i="3"/>
  <c r="FF277" i="3"/>
  <c r="FE277" i="3"/>
  <c r="FL271" i="3"/>
  <c r="FK271" i="3"/>
  <c r="FJ271" i="3"/>
  <c r="FI271" i="3"/>
  <c r="FH271" i="3"/>
  <c r="FG271" i="3"/>
  <c r="FF271" i="3"/>
  <c r="FE271" i="3"/>
  <c r="FL269" i="3"/>
  <c r="FK269" i="3"/>
  <c r="FJ269" i="3"/>
  <c r="FI269" i="3"/>
  <c r="FH269" i="3"/>
  <c r="FG269" i="3"/>
  <c r="FF269" i="3"/>
  <c r="FE269" i="3"/>
  <c r="FL265" i="3"/>
  <c r="FK265" i="3"/>
  <c r="FJ265" i="3"/>
  <c r="FI265" i="3"/>
  <c r="FH265" i="3"/>
  <c r="FG265" i="3"/>
  <c r="FF265" i="3"/>
  <c r="FN264" i="3"/>
  <c r="FL263" i="3"/>
  <c r="FK263" i="3"/>
  <c r="FJ263" i="3"/>
  <c r="FI263" i="3"/>
  <c r="FH263" i="3"/>
  <c r="FG263" i="3"/>
  <c r="FF263" i="3"/>
  <c r="FE263" i="3"/>
  <c r="FN262" i="3"/>
  <c r="FE256" i="3"/>
  <c r="FE257" i="3" s="1"/>
  <c r="AS152" i="3"/>
  <c r="C152" i="3"/>
  <c r="D129" i="3"/>
  <c r="D128" i="3"/>
  <c r="D127" i="3"/>
  <c r="D126" i="3"/>
  <c r="D125" i="3"/>
  <c r="D124" i="3"/>
  <c r="D123" i="3"/>
  <c r="D122" i="3"/>
  <c r="D121" i="3"/>
  <c r="D120" i="3"/>
  <c r="D119" i="3"/>
  <c r="W118" i="3"/>
  <c r="V120" i="3" s="1"/>
  <c r="D118" i="3"/>
  <c r="D117" i="3"/>
  <c r="D116" i="3"/>
  <c r="W115" i="3"/>
  <c r="D115" i="3"/>
  <c r="AT114" i="3"/>
  <c r="D114" i="3"/>
  <c r="AT113" i="3"/>
  <c r="AT112" i="3"/>
  <c r="H110" i="3"/>
  <c r="H109" i="3"/>
  <c r="AS107" i="3"/>
  <c r="AS103" i="3"/>
  <c r="C103" i="3"/>
  <c r="I76" i="3"/>
  <c r="C76" i="3"/>
  <c r="CO75" i="3"/>
  <c r="CL75" i="3"/>
  <c r="I75" i="3"/>
  <c r="C75" i="3"/>
  <c r="CO74" i="3"/>
  <c r="CL74" i="3"/>
  <c r="I74" i="3"/>
  <c r="C74" i="3"/>
  <c r="CO73" i="3"/>
  <c r="CL73" i="3"/>
  <c r="I73" i="3"/>
  <c r="C73" i="3"/>
  <c r="CO72" i="3"/>
  <c r="CL72" i="3"/>
  <c r="I72" i="3"/>
  <c r="C72" i="3"/>
  <c r="CO71" i="3"/>
  <c r="CL71" i="3"/>
  <c r="I71" i="3"/>
  <c r="C71" i="3"/>
  <c r="CO70" i="3"/>
  <c r="CL70" i="3"/>
  <c r="I70" i="3"/>
  <c r="C70" i="3"/>
  <c r="CO69" i="3"/>
  <c r="CL69" i="3"/>
  <c r="I69" i="3"/>
  <c r="C69" i="3"/>
  <c r="CO68" i="3"/>
  <c r="CL68" i="3"/>
  <c r="I68" i="3"/>
  <c r="C68" i="3"/>
  <c r="CO67" i="3"/>
  <c r="CL67" i="3"/>
  <c r="I67" i="3"/>
  <c r="C67" i="3"/>
  <c r="CO66" i="3"/>
  <c r="CL66" i="3"/>
  <c r="I66" i="3"/>
  <c r="C66" i="3"/>
  <c r="CO65" i="3"/>
  <c r="CL65" i="3"/>
  <c r="I65" i="3"/>
  <c r="C65" i="3"/>
  <c r="CO64" i="3"/>
  <c r="CL64" i="3"/>
  <c r="I64" i="3"/>
  <c r="C64" i="3"/>
  <c r="CO63" i="3"/>
  <c r="CL63" i="3"/>
  <c r="I63" i="3"/>
  <c r="C63" i="3"/>
  <c r="CO62" i="3"/>
  <c r="CL62" i="3"/>
  <c r="I62" i="3"/>
  <c r="C62" i="3"/>
  <c r="CO61" i="3"/>
  <c r="CL61" i="3"/>
  <c r="C61" i="3"/>
  <c r="CL60" i="3"/>
  <c r="AS59" i="3"/>
  <c r="AS58" i="3"/>
  <c r="AS54" i="3"/>
  <c r="C54" i="3"/>
  <c r="BD33" i="3"/>
  <c r="BD32" i="3"/>
  <c r="BV31" i="3"/>
  <c r="BV30" i="3"/>
  <c r="AK20" i="3"/>
  <c r="AK19" i="3"/>
  <c r="BJ18" i="3"/>
  <c r="BJ19" i="3" s="1"/>
  <c r="AK17" i="3"/>
  <c r="BD16" i="3"/>
  <c r="BD15" i="3"/>
  <c r="BV14" i="3"/>
  <c r="BV13" i="3"/>
  <c r="AN9" i="3"/>
  <c r="FN5" i="3"/>
  <c r="AS5" i="3"/>
  <c r="EP275" i="2"/>
  <c r="EO275" i="2"/>
  <c r="EN275" i="2"/>
  <c r="EM275" i="2"/>
  <c r="EL275" i="2"/>
  <c r="EK275" i="2"/>
  <c r="EJ275" i="2"/>
  <c r="EI275" i="2"/>
  <c r="EH275" i="2"/>
  <c r="EG275" i="2"/>
  <c r="EF275" i="2"/>
  <c r="EE275" i="2"/>
  <c r="ED275" i="2"/>
  <c r="EC275" i="2"/>
  <c r="EB275" i="2"/>
  <c r="EP274" i="2"/>
  <c r="EO274" i="2"/>
  <c r="EN274" i="2"/>
  <c r="EM274" i="2"/>
  <c r="EL274" i="2"/>
  <c r="EK274" i="2"/>
  <c r="EJ274" i="2"/>
  <c r="EI274" i="2"/>
  <c r="EH274" i="2"/>
  <c r="EG274" i="2"/>
  <c r="EF274" i="2"/>
  <c r="EE274" i="2"/>
  <c r="ED274" i="2"/>
  <c r="EC274" i="2"/>
  <c r="EB274" i="2"/>
  <c r="EA274" i="2"/>
  <c r="ER262" i="2"/>
  <c r="EP262" i="2"/>
  <c r="EP263" i="2" s="1"/>
  <c r="EO262" i="2"/>
  <c r="EO263" i="2" s="1"/>
  <c r="EN262" i="2"/>
  <c r="EN263" i="2" s="1"/>
  <c r="EM262" i="2"/>
  <c r="EM263" i="2" s="1"/>
  <c r="EL262" i="2"/>
  <c r="EL263" i="2" s="1"/>
  <c r="EK262" i="2"/>
  <c r="EK263" i="2" s="1"/>
  <c r="EJ262" i="2"/>
  <c r="EJ263" i="2" s="1"/>
  <c r="EI262" i="2"/>
  <c r="EI263" i="2" s="1"/>
  <c r="EH262" i="2"/>
  <c r="EH263" i="2" s="1"/>
  <c r="EG262" i="2"/>
  <c r="EG263" i="2" s="1"/>
  <c r="EF262" i="2"/>
  <c r="EF263" i="2" s="1"/>
  <c r="EE262" i="2"/>
  <c r="EE263" i="2" s="1"/>
  <c r="ED262" i="2"/>
  <c r="ED263" i="2" s="1"/>
  <c r="EC262" i="2"/>
  <c r="EC263" i="2" s="1"/>
  <c r="EB262" i="2"/>
  <c r="EB263" i="2" s="1"/>
  <c r="EH261" i="2"/>
  <c r="ER260" i="2"/>
  <c r="EP260" i="2"/>
  <c r="EO260" i="2"/>
  <c r="EN260" i="2"/>
  <c r="EM260" i="2"/>
  <c r="EL260" i="2"/>
  <c r="EK260" i="2"/>
  <c r="EJ260" i="2"/>
  <c r="EI260" i="2"/>
  <c r="EH260" i="2"/>
  <c r="EG260" i="2"/>
  <c r="EF260" i="2"/>
  <c r="EE260" i="2"/>
  <c r="ED260" i="2"/>
  <c r="EC260" i="2"/>
  <c r="EB260" i="2"/>
  <c r="EA260" i="2"/>
  <c r="AS152" i="2"/>
  <c r="C152" i="2"/>
  <c r="W118" i="2"/>
  <c r="W115" i="2"/>
  <c r="AT112" i="2"/>
  <c r="AT110" i="2"/>
  <c r="H110" i="2"/>
  <c r="H109" i="2"/>
  <c r="AS103" i="2"/>
  <c r="C103" i="2"/>
  <c r="I76" i="2"/>
  <c r="C76" i="2"/>
  <c r="D129" i="2" s="1"/>
  <c r="EI20" i="2" s="1"/>
  <c r="CO75" i="2"/>
  <c r="CL75" i="2"/>
  <c r="I75" i="2"/>
  <c r="C75" i="2"/>
  <c r="D128" i="2" s="1"/>
  <c r="EI19" i="2" s="1"/>
  <c r="CO74" i="2"/>
  <c r="CL74" i="2"/>
  <c r="I74" i="2"/>
  <c r="C74" i="2"/>
  <c r="D127" i="2" s="1"/>
  <c r="EI18" i="2" s="1"/>
  <c r="CO73" i="2"/>
  <c r="CL73" i="2"/>
  <c r="I73" i="2"/>
  <c r="C73" i="2"/>
  <c r="D126" i="2" s="1"/>
  <c r="EI17" i="2" s="1"/>
  <c r="CO72" i="2"/>
  <c r="CL72" i="2"/>
  <c r="I72" i="2"/>
  <c r="C72" i="2"/>
  <c r="D125" i="2" s="1"/>
  <c r="EI16" i="2" s="1"/>
  <c r="CO71" i="2"/>
  <c r="CL71" i="2"/>
  <c r="I71" i="2"/>
  <c r="C71" i="2"/>
  <c r="D124" i="2" s="1"/>
  <c r="EI15" i="2" s="1"/>
  <c r="CO70" i="2"/>
  <c r="CL70" i="2"/>
  <c r="I70" i="2"/>
  <c r="C70" i="2"/>
  <c r="D123" i="2" s="1"/>
  <c r="EI14" i="2" s="1"/>
  <c r="CO69" i="2"/>
  <c r="CL69" i="2"/>
  <c r="I69" i="2"/>
  <c r="C69" i="2"/>
  <c r="D122" i="2" s="1"/>
  <c r="EI13" i="2" s="1"/>
  <c r="CO68" i="2"/>
  <c r="CL68" i="2"/>
  <c r="I68" i="2"/>
  <c r="C68" i="2"/>
  <c r="D121" i="2" s="1"/>
  <c r="EI12" i="2" s="1"/>
  <c r="CO67" i="2"/>
  <c r="CL67" i="2"/>
  <c r="I67" i="2"/>
  <c r="C67" i="2"/>
  <c r="D120" i="2" s="1"/>
  <c r="EI11" i="2" s="1"/>
  <c r="CO66" i="2"/>
  <c r="CL66" i="2"/>
  <c r="I66" i="2"/>
  <c r="C66" i="2"/>
  <c r="D119" i="2" s="1"/>
  <c r="EI10" i="2" s="1"/>
  <c r="CO65" i="2"/>
  <c r="CL65" i="2"/>
  <c r="I65" i="2"/>
  <c r="C65" i="2"/>
  <c r="D118" i="2" s="1"/>
  <c r="EI9" i="2" s="1"/>
  <c r="CO64" i="2"/>
  <c r="CL64" i="2"/>
  <c r="I64" i="2"/>
  <c r="C64" i="2"/>
  <c r="D117" i="2" s="1"/>
  <c r="EI8" i="2" s="1"/>
  <c r="CO63" i="2"/>
  <c r="CL63" i="2"/>
  <c r="I63" i="2"/>
  <c r="C63" i="2"/>
  <c r="D116" i="2" s="1"/>
  <c r="EI7" i="2" s="1"/>
  <c r="CO62" i="2"/>
  <c r="CL62" i="2"/>
  <c r="I62" i="2"/>
  <c r="C62" i="2"/>
  <c r="D115" i="2" s="1"/>
  <c r="EI6" i="2" s="1"/>
  <c r="CO61" i="2"/>
  <c r="CL61" i="2"/>
  <c r="C61" i="2"/>
  <c r="D114" i="2" s="1"/>
  <c r="EI5" i="2" s="1"/>
  <c r="CL60" i="2"/>
  <c r="AS59" i="2"/>
  <c r="AS58" i="2"/>
  <c r="AS54" i="2"/>
  <c r="C54" i="2"/>
  <c r="AK20" i="2"/>
  <c r="AK19" i="2"/>
  <c r="BJ18" i="2"/>
  <c r="BJ19" i="2" s="1"/>
  <c r="AK17" i="2"/>
  <c r="AJ30" i="2" s="1"/>
  <c r="BD16" i="2"/>
  <c r="BD15" i="2"/>
  <c r="BV14" i="2"/>
  <c r="BV13" i="2"/>
  <c r="AN9" i="2"/>
  <c r="FN5" i="2"/>
  <c r="DY5" i="2"/>
  <c r="AS5" i="2"/>
  <c r="EP275" i="1"/>
  <c r="EO275" i="1"/>
  <c r="EN275" i="1"/>
  <c r="EM275" i="1"/>
  <c r="EL275" i="1"/>
  <c r="EK275" i="1"/>
  <c r="EJ275" i="1"/>
  <c r="EI275" i="1"/>
  <c r="EH275" i="1"/>
  <c r="EG275" i="1"/>
  <c r="EF275" i="1"/>
  <c r="EE275" i="1"/>
  <c r="ED275" i="1"/>
  <c r="EC275" i="1"/>
  <c r="EB275" i="1"/>
  <c r="EP274" i="1"/>
  <c r="EO274" i="1"/>
  <c r="EN274" i="1"/>
  <c r="EM274" i="1"/>
  <c r="EL274" i="1"/>
  <c r="EK274" i="1"/>
  <c r="EJ274" i="1"/>
  <c r="EI274" i="1"/>
  <c r="EH274" i="1"/>
  <c r="EG274" i="1"/>
  <c r="EF274" i="1"/>
  <c r="EE274" i="1"/>
  <c r="ED274" i="1"/>
  <c r="EC274" i="1"/>
  <c r="EB274" i="1"/>
  <c r="EA274" i="1"/>
  <c r="ER262" i="1"/>
  <c r="EP262" i="1"/>
  <c r="EO262" i="1"/>
  <c r="EN262" i="1"/>
  <c r="EM262" i="1"/>
  <c r="EL262" i="1"/>
  <c r="EK262" i="1"/>
  <c r="EJ262" i="1"/>
  <c r="EI262" i="1"/>
  <c r="EH262" i="1"/>
  <c r="EG262" i="1"/>
  <c r="EF262" i="1"/>
  <c r="EE262" i="1"/>
  <c r="ED262" i="1"/>
  <c r="EC262" i="1"/>
  <c r="EB262" i="1"/>
  <c r="EH261" i="1"/>
  <c r="ER260" i="1"/>
  <c r="EP260" i="1"/>
  <c r="EO260" i="1"/>
  <c r="EN260" i="1"/>
  <c r="EM260" i="1"/>
  <c r="EL260" i="1"/>
  <c r="EK260" i="1"/>
  <c r="EJ260" i="1"/>
  <c r="EI260" i="1"/>
  <c r="EH260" i="1"/>
  <c r="EG260" i="1"/>
  <c r="EF260" i="1"/>
  <c r="EE260" i="1"/>
  <c r="ED260" i="1"/>
  <c r="EC260" i="1"/>
  <c r="EB260" i="1"/>
  <c r="EA260" i="1"/>
  <c r="AS152" i="1"/>
  <c r="C152" i="1"/>
  <c r="W118" i="1"/>
  <c r="W115" i="1"/>
  <c r="AT111" i="1"/>
  <c r="H110" i="1"/>
  <c r="H109" i="1"/>
  <c r="AS103" i="1"/>
  <c r="C103" i="1"/>
  <c r="I76" i="1"/>
  <c r="C76" i="1"/>
  <c r="D129" i="1" s="1"/>
  <c r="EI20" i="1" s="1"/>
  <c r="CO75" i="1"/>
  <c r="I75" i="1"/>
  <c r="C75" i="1"/>
  <c r="D128" i="1" s="1"/>
  <c r="EI19" i="1" s="1"/>
  <c r="CO74" i="1"/>
  <c r="CL74" i="1"/>
  <c r="I74" i="1"/>
  <c r="C74" i="1"/>
  <c r="D127" i="1" s="1"/>
  <c r="EI18" i="1" s="1"/>
  <c r="CO73" i="1"/>
  <c r="I73" i="1"/>
  <c r="C73" i="1"/>
  <c r="D126" i="1" s="1"/>
  <c r="EI17" i="1" s="1"/>
  <c r="CO72" i="1"/>
  <c r="CL72" i="1"/>
  <c r="I72" i="1"/>
  <c r="C72" i="1"/>
  <c r="D125" i="1" s="1"/>
  <c r="EI16" i="1" s="1"/>
  <c r="CO71" i="1"/>
  <c r="I71" i="1"/>
  <c r="C71" i="1"/>
  <c r="D124" i="1" s="1"/>
  <c r="EI15" i="1" s="1"/>
  <c r="CO70" i="1"/>
  <c r="CL70" i="1"/>
  <c r="I70" i="1"/>
  <c r="C70" i="1"/>
  <c r="D123" i="1" s="1"/>
  <c r="EI14" i="1" s="1"/>
  <c r="CO69" i="1"/>
  <c r="I69" i="1"/>
  <c r="C69" i="1"/>
  <c r="D122" i="1" s="1"/>
  <c r="EI13" i="1" s="1"/>
  <c r="CO68" i="1"/>
  <c r="CL68" i="1"/>
  <c r="I68" i="1"/>
  <c r="C68" i="1"/>
  <c r="D121" i="1" s="1"/>
  <c r="EI12" i="1" s="1"/>
  <c r="CO67" i="1"/>
  <c r="I67" i="1"/>
  <c r="C67" i="1"/>
  <c r="D120" i="1" s="1"/>
  <c r="EI11" i="1" s="1"/>
  <c r="CO66" i="1"/>
  <c r="CL66" i="1"/>
  <c r="I66" i="1"/>
  <c r="C66" i="1"/>
  <c r="D119" i="1" s="1"/>
  <c r="EI10" i="1" s="1"/>
  <c r="CO65" i="1"/>
  <c r="I65" i="1"/>
  <c r="C65" i="1"/>
  <c r="D118" i="1" s="1"/>
  <c r="EI9" i="1" s="1"/>
  <c r="CO64" i="1"/>
  <c r="CL64" i="1"/>
  <c r="I64" i="1"/>
  <c r="C64" i="1"/>
  <c r="D117" i="1" s="1"/>
  <c r="EI8" i="1" s="1"/>
  <c r="CO63" i="1"/>
  <c r="I63" i="1"/>
  <c r="C63" i="1"/>
  <c r="D116" i="1" s="1"/>
  <c r="EI7" i="1" s="1"/>
  <c r="CO62" i="1"/>
  <c r="CL62" i="1"/>
  <c r="I62" i="1"/>
  <c r="C62" i="1"/>
  <c r="D115" i="1" s="1"/>
  <c r="EI6" i="1" s="1"/>
  <c r="CO61" i="1"/>
  <c r="C61" i="1"/>
  <c r="D114" i="1" s="1"/>
  <c r="EI5" i="1" s="1"/>
  <c r="HL60" i="1"/>
  <c r="CL60" i="1"/>
  <c r="AS59" i="1"/>
  <c r="AS58" i="1"/>
  <c r="AS54" i="1"/>
  <c r="C54" i="1"/>
  <c r="AK20" i="1"/>
  <c r="BJ18" i="1" s="1"/>
  <c r="BJ19" i="1" s="1"/>
  <c r="AK19" i="1"/>
  <c r="AK17" i="1"/>
  <c r="AJ30" i="1" s="1"/>
  <c r="BD16" i="1"/>
  <c r="BD15" i="1"/>
  <c r="BV14" i="1"/>
  <c r="BV13" i="1"/>
  <c r="AN9" i="1"/>
  <c r="AS5" i="1"/>
  <c r="FI91" i="3" l="1"/>
  <c r="FJ91" i="3" s="1"/>
  <c r="FI83" i="3"/>
  <c r="FJ83" i="3" s="1"/>
  <c r="FI79" i="3"/>
  <c r="FI150" i="3"/>
  <c r="FJ150" i="3" s="1"/>
  <c r="FK152" i="3"/>
  <c r="FJ152" i="3"/>
  <c r="FL152" i="3" s="1"/>
  <c r="FM152" i="3" s="1"/>
  <c r="FI167" i="3"/>
  <c r="FK167" i="3" s="1"/>
  <c r="FI66" i="3"/>
  <c r="FJ66" i="3" s="1"/>
  <c r="FK214" i="3"/>
  <c r="FL214" i="3" s="1"/>
  <c r="FM214" i="3" s="1"/>
  <c r="FK74" i="3"/>
  <c r="FI135" i="3"/>
  <c r="FJ135" i="3" s="1"/>
  <c r="FI131" i="3"/>
  <c r="FJ131" i="3" s="1"/>
  <c r="FI96" i="3"/>
  <c r="FJ96" i="3" s="1"/>
  <c r="FI40" i="3"/>
  <c r="FJ40" i="3" s="1"/>
  <c r="FI38" i="3"/>
  <c r="FJ38" i="3" s="1"/>
  <c r="FI8" i="3"/>
  <c r="FJ8" i="3" s="1"/>
  <c r="FK5" i="3"/>
  <c r="FJ5" i="3"/>
  <c r="FK109" i="3"/>
  <c r="FJ109" i="3"/>
  <c r="FI194" i="3"/>
  <c r="FJ194" i="3" s="1"/>
  <c r="FK122" i="3"/>
  <c r="FI113" i="3"/>
  <c r="FJ113" i="3" s="1"/>
  <c r="FI111" i="3"/>
  <c r="FJ111" i="3" s="1"/>
  <c r="FJ76" i="3"/>
  <c r="FL76" i="3" s="1"/>
  <c r="FM76" i="3" s="1"/>
  <c r="FI19" i="3"/>
  <c r="FJ19" i="3" s="1"/>
  <c r="FI107" i="3"/>
  <c r="FJ107" i="3" s="1"/>
  <c r="FK91" i="3"/>
  <c r="FI254" i="3"/>
  <c r="FJ254" i="3" s="1"/>
  <c r="FI252" i="3"/>
  <c r="FK252" i="3" s="1"/>
  <c r="FI191" i="3"/>
  <c r="FJ191" i="3" s="1"/>
  <c r="FI189" i="3"/>
  <c r="FJ189" i="3" s="1"/>
  <c r="FI187" i="3"/>
  <c r="FK187" i="3" s="1"/>
  <c r="FI51" i="3"/>
  <c r="FK51" i="3" s="1"/>
  <c r="FK220" i="3"/>
  <c r="FL220" i="3" s="1"/>
  <c r="FM220" i="3" s="1"/>
  <c r="FI210" i="3"/>
  <c r="FI104" i="3"/>
  <c r="FJ104" i="3" s="1"/>
  <c r="FI102" i="3"/>
  <c r="FJ102" i="3" s="1"/>
  <c r="FK96" i="3"/>
  <c r="FL96" i="3" s="1"/>
  <c r="FM96" i="3" s="1"/>
  <c r="FJ238" i="3"/>
  <c r="FK238" i="3"/>
  <c r="FK17" i="3"/>
  <c r="FL17" i="3" s="1"/>
  <c r="FM17" i="3" s="1"/>
  <c r="FK117" i="3"/>
  <c r="FL117" i="3" s="1"/>
  <c r="FM117" i="3" s="1"/>
  <c r="FL91" i="3"/>
  <c r="FM91" i="3" s="1"/>
  <c r="FI56" i="3"/>
  <c r="FJ56" i="3" s="1"/>
  <c r="FK54" i="3"/>
  <c r="FL54" i="3" s="1"/>
  <c r="FM54" i="3" s="1"/>
  <c r="FI32" i="3"/>
  <c r="FJ32" i="3" s="1"/>
  <c r="FI26" i="3"/>
  <c r="FK26" i="3" s="1"/>
  <c r="FK196" i="3"/>
  <c r="FL196" i="3" s="1"/>
  <c r="FM196" i="3" s="1"/>
  <c r="FI142" i="3"/>
  <c r="FJ142" i="3" s="1"/>
  <c r="FI140" i="3"/>
  <c r="FJ140" i="3" s="1"/>
  <c r="FI63" i="3"/>
  <c r="FJ63" i="3" s="1"/>
  <c r="FI48" i="3"/>
  <c r="FJ48" i="3" s="1"/>
  <c r="FI223" i="3"/>
  <c r="FJ223" i="3" s="1"/>
  <c r="FI221" i="3"/>
  <c r="FJ221" i="3" s="1"/>
  <c r="FI219" i="3"/>
  <c r="FJ219" i="3" s="1"/>
  <c r="FI178" i="3"/>
  <c r="FJ178" i="3" s="1"/>
  <c r="FK90" i="3"/>
  <c r="FK61" i="3"/>
  <c r="FL61" i="3" s="1"/>
  <c r="FM61" i="3" s="1"/>
  <c r="FI6" i="3"/>
  <c r="FJ6" i="3" s="1"/>
  <c r="FK46" i="3"/>
  <c r="FL46" i="3" s="1"/>
  <c r="FM46" i="3" s="1"/>
  <c r="FK82" i="3"/>
  <c r="FI71" i="3"/>
  <c r="FJ71" i="3" s="1"/>
  <c r="FJ68" i="3"/>
  <c r="FL68" i="3" s="1"/>
  <c r="FM68" i="3" s="1"/>
  <c r="FI59" i="3"/>
  <c r="FJ59" i="3" s="1"/>
  <c r="FI35" i="3"/>
  <c r="FK35" i="3" s="1"/>
  <c r="FK33" i="3"/>
  <c r="FL33" i="3" s="1"/>
  <c r="FM33" i="3" s="1"/>
  <c r="FI247" i="3"/>
  <c r="FJ247" i="3" s="1"/>
  <c r="FI245" i="3"/>
  <c r="FJ245" i="3" s="1"/>
  <c r="FI243" i="3"/>
  <c r="FJ243" i="3" s="1"/>
  <c r="FK241" i="3"/>
  <c r="FL241" i="3" s="1"/>
  <c r="FM241" i="3" s="1"/>
  <c r="FI162" i="3"/>
  <c r="FJ162" i="3" s="1"/>
  <c r="FI88" i="3"/>
  <c r="FJ88" i="3" s="1"/>
  <c r="FI86" i="3"/>
  <c r="FJ86" i="3" s="1"/>
  <c r="FI55" i="3"/>
  <c r="FJ55" i="3" s="1"/>
  <c r="FI31" i="3"/>
  <c r="FJ31" i="3" s="1"/>
  <c r="FI23" i="3"/>
  <c r="FJ23" i="3" s="1"/>
  <c r="FK21" i="3"/>
  <c r="FL21" i="3" s="1"/>
  <c r="FM21" i="3" s="1"/>
  <c r="FK234" i="3"/>
  <c r="FJ234" i="3"/>
  <c r="FK240" i="3"/>
  <c r="FJ240" i="3"/>
  <c r="FK235" i="3"/>
  <c r="FJ235" i="3"/>
  <c r="FJ153" i="3"/>
  <c r="FK153" i="3"/>
  <c r="FK236" i="3"/>
  <c r="FJ236" i="3"/>
  <c r="FK116" i="3"/>
  <c r="FJ116" i="3"/>
  <c r="FK213" i="3"/>
  <c r="FK209" i="3"/>
  <c r="FL209" i="3" s="1"/>
  <c r="FM209" i="3" s="1"/>
  <c r="FK29" i="3"/>
  <c r="FL29" i="3" s="1"/>
  <c r="FM29" i="3" s="1"/>
  <c r="FI11" i="3"/>
  <c r="FJ11" i="3" s="1"/>
  <c r="FK9" i="3"/>
  <c r="FL9" i="3" s="1"/>
  <c r="FM9" i="3" s="1"/>
  <c r="FJ250" i="3"/>
  <c r="FI248" i="3"/>
  <c r="FK248" i="3" s="1"/>
  <c r="FI246" i="3"/>
  <c r="FJ246" i="3" s="1"/>
  <c r="FI244" i="3"/>
  <c r="FJ244" i="3" s="1"/>
  <c r="FI242" i="3"/>
  <c r="FJ242" i="3" s="1"/>
  <c r="FI207" i="3"/>
  <c r="FJ207" i="3" s="1"/>
  <c r="FI202" i="3"/>
  <c r="FK202" i="3" s="1"/>
  <c r="FK173" i="3"/>
  <c r="FL173" i="3" s="1"/>
  <c r="FM173" i="3" s="1"/>
  <c r="FK166" i="3"/>
  <c r="FL166" i="3" s="1"/>
  <c r="FM166" i="3" s="1"/>
  <c r="FI146" i="3"/>
  <c r="FK146" i="3" s="1"/>
  <c r="FI143" i="3"/>
  <c r="FK139" i="3"/>
  <c r="FI136" i="3"/>
  <c r="FJ136" i="3" s="1"/>
  <c r="FK103" i="3"/>
  <c r="FK101" i="3"/>
  <c r="FL101" i="3" s="1"/>
  <c r="FM101" i="3" s="1"/>
  <c r="FK100" i="3"/>
  <c r="FL100" i="3" s="1"/>
  <c r="FM100" i="3" s="1"/>
  <c r="FI99" i="3"/>
  <c r="FK99" i="3" s="1"/>
  <c r="FI80" i="3"/>
  <c r="FJ80" i="3" s="1"/>
  <c r="FI34" i="3"/>
  <c r="FJ34" i="3" s="1"/>
  <c r="FI27" i="3"/>
  <c r="FJ27" i="3" s="1"/>
  <c r="FI18" i="3"/>
  <c r="FJ18" i="3" s="1"/>
  <c r="FI7" i="3"/>
  <c r="FJ7" i="3" s="1"/>
  <c r="FI239" i="3"/>
  <c r="FI190" i="3"/>
  <c r="FJ190" i="3" s="1"/>
  <c r="FI186" i="3"/>
  <c r="FJ186" i="3" s="1"/>
  <c r="FI184" i="3"/>
  <c r="FJ184" i="3" s="1"/>
  <c r="FK161" i="3"/>
  <c r="FL161" i="3" s="1"/>
  <c r="FM161" i="3" s="1"/>
  <c r="FI123" i="3"/>
  <c r="FI121" i="3"/>
  <c r="FJ121" i="3" s="1"/>
  <c r="FI115" i="3"/>
  <c r="FK106" i="3"/>
  <c r="FL106" i="3" s="1"/>
  <c r="FM106" i="3" s="1"/>
  <c r="FI75" i="3"/>
  <c r="FI67" i="3"/>
  <c r="FI58" i="3"/>
  <c r="FJ58" i="3" s="1"/>
  <c r="FK53" i="3"/>
  <c r="FL53" i="3" s="1"/>
  <c r="FM53" i="3" s="1"/>
  <c r="FK45" i="3"/>
  <c r="FL45" i="3" s="1"/>
  <c r="FM45" i="3" s="1"/>
  <c r="FI16" i="3"/>
  <c r="FJ16" i="3" s="1"/>
  <c r="FK205" i="3"/>
  <c r="FL205" i="3" s="1"/>
  <c r="FM205" i="3" s="1"/>
  <c r="FK198" i="3"/>
  <c r="FL198" i="3" s="1"/>
  <c r="FM198" i="3" s="1"/>
  <c r="FK164" i="3"/>
  <c r="FL164" i="3" s="1"/>
  <c r="FM164" i="3" s="1"/>
  <c r="FI14" i="3"/>
  <c r="FJ14" i="3" s="1"/>
  <c r="FI253" i="3"/>
  <c r="FJ253" i="3" s="1"/>
  <c r="FI251" i="3"/>
  <c r="FK251" i="3" s="1"/>
  <c r="FK233" i="3"/>
  <c r="FL233" i="3" s="1"/>
  <c r="FM233" i="3" s="1"/>
  <c r="FI224" i="3"/>
  <c r="FK224" i="3" s="1"/>
  <c r="FI222" i="3"/>
  <c r="FJ222" i="3" s="1"/>
  <c r="FI218" i="3"/>
  <c r="FJ218" i="3" s="1"/>
  <c r="FI216" i="3"/>
  <c r="FJ216" i="3" s="1"/>
  <c r="FK212" i="3"/>
  <c r="FL212" i="3" s="1"/>
  <c r="FM212" i="3" s="1"/>
  <c r="FJ210" i="3"/>
  <c r="FK193" i="3"/>
  <c r="FL193" i="3" s="1"/>
  <c r="FM193" i="3" s="1"/>
  <c r="FI159" i="3"/>
  <c r="FJ159" i="3" s="1"/>
  <c r="FK157" i="3"/>
  <c r="FI154" i="3"/>
  <c r="FI149" i="3"/>
  <c r="FJ149" i="3" s="1"/>
  <c r="FI147" i="3"/>
  <c r="FJ147" i="3" s="1"/>
  <c r="FK93" i="3"/>
  <c r="FL93" i="3" s="1"/>
  <c r="FM93" i="3" s="1"/>
  <c r="FK79" i="3"/>
  <c r="FI39" i="3"/>
  <c r="FJ39" i="3" s="1"/>
  <c r="FK37" i="3"/>
  <c r="FL37" i="3" s="1"/>
  <c r="FM37" i="3" s="1"/>
  <c r="FI30" i="3"/>
  <c r="FJ30" i="3" s="1"/>
  <c r="FI10" i="3"/>
  <c r="FJ10" i="3" s="1"/>
  <c r="FK84" i="3"/>
  <c r="FL84" i="3" s="1"/>
  <c r="FM84" i="3" s="1"/>
  <c r="FK57" i="3"/>
  <c r="FL57" i="3" s="1"/>
  <c r="FM57" i="3" s="1"/>
  <c r="FK181" i="3"/>
  <c r="FK225" i="3"/>
  <c r="FL225" i="3" s="1"/>
  <c r="FM225" i="3" s="1"/>
  <c r="FI199" i="3"/>
  <c r="FI175" i="3"/>
  <c r="FJ175" i="3" s="1"/>
  <c r="FI170" i="3"/>
  <c r="FK170" i="3" s="1"/>
  <c r="FK150" i="3"/>
  <c r="FI110" i="3"/>
  <c r="FJ110" i="3" s="1"/>
  <c r="FK94" i="3"/>
  <c r="FL94" i="3" s="1"/>
  <c r="FM94" i="3" s="1"/>
  <c r="FI72" i="3"/>
  <c r="FJ72" i="3" s="1"/>
  <c r="FK69" i="3"/>
  <c r="FL69" i="3" s="1"/>
  <c r="FM69" i="3" s="1"/>
  <c r="FK62" i="3"/>
  <c r="FL62" i="3" s="1"/>
  <c r="FM62" i="3" s="1"/>
  <c r="FI50" i="3"/>
  <c r="FJ50" i="3" s="1"/>
  <c r="FI24" i="3"/>
  <c r="FJ24" i="3" s="1"/>
  <c r="FI22" i="3"/>
  <c r="FJ22" i="3" s="1"/>
  <c r="FI15" i="3"/>
  <c r="FK13" i="3"/>
  <c r="FL13" i="3" s="1"/>
  <c r="FM13" i="3" s="1"/>
  <c r="FJ232" i="3"/>
  <c r="FK232" i="3"/>
  <c r="FK176" i="3"/>
  <c r="FJ176" i="3"/>
  <c r="FK203" i="3"/>
  <c r="FJ203" i="3"/>
  <c r="FJ249" i="3"/>
  <c r="FK249" i="3"/>
  <c r="FK227" i="3"/>
  <c r="FL227" i="3" s="1"/>
  <c r="FM227" i="3" s="1"/>
  <c r="FK208" i="3"/>
  <c r="FJ208" i="3"/>
  <c r="FK177" i="3"/>
  <c r="FL177" i="3" s="1"/>
  <c r="FM177" i="3" s="1"/>
  <c r="FJ206" i="3"/>
  <c r="FK206" i="3"/>
  <c r="FJ201" i="3"/>
  <c r="FK201" i="3"/>
  <c r="FJ185" i="3"/>
  <c r="FK185" i="3"/>
  <c r="FK172" i="3"/>
  <c r="FJ172" i="3"/>
  <c r="FK155" i="3"/>
  <c r="FJ155" i="3"/>
  <c r="FJ171" i="3"/>
  <c r="FK171" i="3"/>
  <c r="FJ174" i="3"/>
  <c r="FK174" i="3"/>
  <c r="FJ179" i="3"/>
  <c r="FK179" i="3"/>
  <c r="FK168" i="3"/>
  <c r="FJ168" i="3"/>
  <c r="FJ169" i="3"/>
  <c r="FK169" i="3"/>
  <c r="FJ217" i="3"/>
  <c r="FK217" i="3"/>
  <c r="FJ204" i="3"/>
  <c r="FK204" i="3"/>
  <c r="FK188" i="3"/>
  <c r="FL188" i="3" s="1"/>
  <c r="FM188" i="3" s="1"/>
  <c r="FK182" i="3"/>
  <c r="FL182" i="3" s="1"/>
  <c r="FM182" i="3" s="1"/>
  <c r="FK144" i="3"/>
  <c r="FJ144" i="3"/>
  <c r="FK230" i="3"/>
  <c r="FL230" i="3" s="1"/>
  <c r="FM230" i="3" s="1"/>
  <c r="FK228" i="3"/>
  <c r="FL228" i="3" s="1"/>
  <c r="FM228" i="3" s="1"/>
  <c r="FJ211" i="3"/>
  <c r="FK211" i="3"/>
  <c r="FK200" i="3"/>
  <c r="FJ200" i="3"/>
  <c r="FK180" i="3"/>
  <c r="FL180" i="3" s="1"/>
  <c r="FM180" i="3" s="1"/>
  <c r="FK197" i="3"/>
  <c r="FL197" i="3" s="1"/>
  <c r="FM197" i="3" s="1"/>
  <c r="FK7" i="3"/>
  <c r="FK250" i="3"/>
  <c r="FK237" i="3"/>
  <c r="FL237" i="3" s="1"/>
  <c r="FM237" i="3" s="1"/>
  <c r="FI151" i="3"/>
  <c r="FJ145" i="3"/>
  <c r="FL145" i="3" s="1"/>
  <c r="FM145" i="3" s="1"/>
  <c r="FJ139" i="3"/>
  <c r="FK138" i="3"/>
  <c r="FL138" i="3" s="1"/>
  <c r="FM138" i="3" s="1"/>
  <c r="FI132" i="3"/>
  <c r="FK125" i="3"/>
  <c r="FL125" i="3" s="1"/>
  <c r="FM125" i="3" s="1"/>
  <c r="FI119" i="3"/>
  <c r="FJ81" i="3"/>
  <c r="FK81" i="3"/>
  <c r="FJ36" i="3"/>
  <c r="FK36" i="3"/>
  <c r="FK226" i="3"/>
  <c r="FL226" i="3" s="1"/>
  <c r="FM226" i="3" s="1"/>
  <c r="FJ213" i="3"/>
  <c r="FK210" i="3"/>
  <c r="FL210" i="3" s="1"/>
  <c r="FM210" i="3" s="1"/>
  <c r="FJ181" i="3"/>
  <c r="FJ95" i="3"/>
  <c r="FK95" i="3"/>
  <c r="FJ89" i="3"/>
  <c r="FK89" i="3"/>
  <c r="FK165" i="3"/>
  <c r="FL165" i="3" s="1"/>
  <c r="FM165" i="3" s="1"/>
  <c r="FJ157" i="3"/>
  <c r="FL157" i="3" s="1"/>
  <c r="FM157" i="3" s="1"/>
  <c r="FK156" i="3"/>
  <c r="FL156" i="3" s="1"/>
  <c r="FM156" i="3" s="1"/>
  <c r="FI133" i="3"/>
  <c r="FK130" i="3"/>
  <c r="FL130" i="3" s="1"/>
  <c r="FM130" i="3" s="1"/>
  <c r="FI129" i="3"/>
  <c r="FK126" i="3"/>
  <c r="FL126" i="3" s="1"/>
  <c r="FM126" i="3" s="1"/>
  <c r="FK108" i="3"/>
  <c r="FL108" i="3" s="1"/>
  <c r="FM108" i="3" s="1"/>
  <c r="FJ105" i="3"/>
  <c r="FK105" i="3"/>
  <c r="FJ92" i="3"/>
  <c r="FK92" i="3"/>
  <c r="FK229" i="3"/>
  <c r="FL229" i="3" s="1"/>
  <c r="FM229" i="3" s="1"/>
  <c r="FK148" i="3"/>
  <c r="FL148" i="3" s="1"/>
  <c r="FM148" i="3" s="1"/>
  <c r="FK247" i="3"/>
  <c r="FL247" i="3" s="1"/>
  <c r="FM247" i="3" s="1"/>
  <c r="FI231" i="3"/>
  <c r="FJ231" i="3" s="1"/>
  <c r="FK195" i="3"/>
  <c r="FL195" i="3" s="1"/>
  <c r="FM195" i="3" s="1"/>
  <c r="FK163" i="3"/>
  <c r="FL163" i="3" s="1"/>
  <c r="FM163" i="3" s="1"/>
  <c r="FK137" i="3"/>
  <c r="FL137" i="3" s="1"/>
  <c r="FM137" i="3" s="1"/>
  <c r="FI134" i="3"/>
  <c r="FJ134" i="3" s="1"/>
  <c r="FK127" i="3"/>
  <c r="FL127" i="3" s="1"/>
  <c r="FM127" i="3" s="1"/>
  <c r="FI215" i="3"/>
  <c r="FJ192" i="3"/>
  <c r="FL192" i="3" s="1"/>
  <c r="FM192" i="3" s="1"/>
  <c r="FI183" i="3"/>
  <c r="FJ160" i="3"/>
  <c r="FL160" i="3" s="1"/>
  <c r="FM160" i="3" s="1"/>
  <c r="FI158" i="3"/>
  <c r="FI141" i="3"/>
  <c r="FJ124" i="3"/>
  <c r="FK124" i="3"/>
  <c r="FJ98" i="3"/>
  <c r="FK98" i="3"/>
  <c r="FI120" i="3"/>
  <c r="FJ120" i="3" s="1"/>
  <c r="FJ90" i="3"/>
  <c r="FK83" i="3"/>
  <c r="FL83" i="3" s="1"/>
  <c r="FM83" i="3" s="1"/>
  <c r="FJ79" i="3"/>
  <c r="FJ74" i="3"/>
  <c r="FK25" i="3"/>
  <c r="FL25" i="3" s="1"/>
  <c r="FM25" i="3" s="1"/>
  <c r="FI112" i="3"/>
  <c r="FJ112" i="3" s="1"/>
  <c r="FK104" i="3"/>
  <c r="FL104" i="3" s="1"/>
  <c r="FM104" i="3" s="1"/>
  <c r="FI87" i="3"/>
  <c r="FJ82" i="3"/>
  <c r="FJ44" i="3"/>
  <c r="FK44" i="3"/>
  <c r="FJ12" i="3"/>
  <c r="FK12" i="3"/>
  <c r="FJ52" i="3"/>
  <c r="FK52" i="3"/>
  <c r="FJ97" i="3"/>
  <c r="FK97" i="3"/>
  <c r="FJ73" i="3"/>
  <c r="FK73" i="3"/>
  <c r="FJ60" i="3"/>
  <c r="FK60" i="3"/>
  <c r="FJ20" i="3"/>
  <c r="FK20" i="3"/>
  <c r="FJ122" i="3"/>
  <c r="FK118" i="3"/>
  <c r="FL118" i="3" s="1"/>
  <c r="FM118" i="3" s="1"/>
  <c r="FK77" i="3"/>
  <c r="FL77" i="3" s="1"/>
  <c r="FM77" i="3" s="1"/>
  <c r="FK41" i="3"/>
  <c r="FL41" i="3" s="1"/>
  <c r="FM41" i="3" s="1"/>
  <c r="FI128" i="3"/>
  <c r="FJ114" i="3"/>
  <c r="FL114" i="3" s="1"/>
  <c r="FM114" i="3" s="1"/>
  <c r="FK85" i="3"/>
  <c r="FL85" i="3" s="1"/>
  <c r="FM85" i="3" s="1"/>
  <c r="FK78" i="3"/>
  <c r="FL78" i="3" s="1"/>
  <c r="FM78" i="3" s="1"/>
  <c r="FI64" i="3"/>
  <c r="FJ64" i="3" s="1"/>
  <c r="FK49" i="3"/>
  <c r="FL49" i="3" s="1"/>
  <c r="FM49" i="3" s="1"/>
  <c r="FJ28" i="3"/>
  <c r="FK28" i="3"/>
  <c r="FJ103" i="3"/>
  <c r="FJ65" i="3"/>
  <c r="FK65" i="3"/>
  <c r="ED101" i="2"/>
  <c r="EE101" i="2"/>
  <c r="EF189" i="2"/>
  <c r="EG189" i="2" s="1"/>
  <c r="EE247" i="2"/>
  <c r="EF240" i="2"/>
  <c r="EG240" i="2" s="1"/>
  <c r="ED233" i="2"/>
  <c r="EE233" i="2"/>
  <c r="ED223" i="2"/>
  <c r="EF223" i="2" s="1"/>
  <c r="EG223" i="2" s="1"/>
  <c r="ED191" i="2"/>
  <c r="EF191" i="2" s="1"/>
  <c r="EG191" i="2" s="1"/>
  <c r="EF173" i="2"/>
  <c r="EG173" i="2" s="1"/>
  <c r="ED158" i="2"/>
  <c r="EE158" i="2"/>
  <c r="ED129" i="2"/>
  <c r="EF129" i="2" s="1"/>
  <c r="EG129" i="2" s="1"/>
  <c r="EE129" i="2"/>
  <c r="EE119" i="2"/>
  <c r="EF119" i="2" s="1"/>
  <c r="EG119" i="2" s="1"/>
  <c r="EE236" i="2"/>
  <c r="EF236" i="2" s="1"/>
  <c r="EG236" i="2" s="1"/>
  <c r="EF221" i="2"/>
  <c r="EG221" i="2" s="1"/>
  <c r="ED164" i="2"/>
  <c r="EE164" i="2"/>
  <c r="ED137" i="2"/>
  <c r="EE137" i="2"/>
  <c r="EF243" i="2"/>
  <c r="EG243" i="2" s="1"/>
  <c r="EE251" i="2"/>
  <c r="EF251" i="2" s="1"/>
  <c r="EG251" i="2" s="1"/>
  <c r="EF244" i="2"/>
  <c r="EG244" i="2" s="1"/>
  <c r="EF237" i="2"/>
  <c r="EG237" i="2" s="1"/>
  <c r="EF222" i="2"/>
  <c r="EG222" i="2" s="1"/>
  <c r="EE220" i="2"/>
  <c r="EF220" i="2" s="1"/>
  <c r="EG220" i="2" s="1"/>
  <c r="EF205" i="2"/>
  <c r="EG205" i="2" s="1"/>
  <c r="EE188" i="2"/>
  <c r="EF188" i="2" s="1"/>
  <c r="EG188" i="2" s="1"/>
  <c r="EF83" i="2"/>
  <c r="EG83" i="2" s="1"/>
  <c r="EF204" i="2"/>
  <c r="EG204" i="2" s="1"/>
  <c r="EE243" i="2"/>
  <c r="EE204" i="2"/>
  <c r="EF247" i="2"/>
  <c r="EG247" i="2" s="1"/>
  <c r="ED160" i="2"/>
  <c r="EE160" i="2"/>
  <c r="EF252" i="2"/>
  <c r="EG252" i="2" s="1"/>
  <c r="EF248" i="2"/>
  <c r="EG248" i="2" s="1"/>
  <c r="ED207" i="2"/>
  <c r="EF207" i="2" s="1"/>
  <c r="EG207" i="2" s="1"/>
  <c r="ED175" i="2"/>
  <c r="EF175" i="2" s="1"/>
  <c r="EG175" i="2" s="1"/>
  <c r="EE182" i="2"/>
  <c r="EF182" i="2" s="1"/>
  <c r="EG182" i="2" s="1"/>
  <c r="EF156" i="2"/>
  <c r="EG156" i="2" s="1"/>
  <c r="EF131" i="2"/>
  <c r="EG131" i="2" s="1"/>
  <c r="EF73" i="2"/>
  <c r="EG73" i="2" s="1"/>
  <c r="EF8" i="2"/>
  <c r="EG8" i="2" s="1"/>
  <c r="EF135" i="2"/>
  <c r="EG135" i="2" s="1"/>
  <c r="EE83" i="2"/>
  <c r="EF78" i="2"/>
  <c r="EG78" i="2" s="1"/>
  <c r="EE174" i="2"/>
  <c r="EF169" i="2"/>
  <c r="EG169" i="2" s="1"/>
  <c r="EE167" i="2"/>
  <c r="EF150" i="2"/>
  <c r="EG150" i="2" s="1"/>
  <c r="EE148" i="2"/>
  <c r="EF148" i="2" s="1"/>
  <c r="EG148" i="2" s="1"/>
  <c r="ED146" i="2"/>
  <c r="EF146" i="2" s="1"/>
  <c r="EG146" i="2" s="1"/>
  <c r="EE146" i="2"/>
  <c r="EE142" i="2"/>
  <c r="EF142" i="2" s="1"/>
  <c r="EG142" i="2" s="1"/>
  <c r="ED114" i="2"/>
  <c r="EE114" i="2"/>
  <c r="EE110" i="2"/>
  <c r="EE106" i="2"/>
  <c r="EF104" i="2"/>
  <c r="EG104" i="2" s="1"/>
  <c r="EF94" i="2"/>
  <c r="EG94" i="2" s="1"/>
  <c r="EF90" i="2"/>
  <c r="EG90" i="2" s="1"/>
  <c r="EF85" i="2"/>
  <c r="EG85" i="2" s="1"/>
  <c r="EF80" i="2"/>
  <c r="EG80" i="2" s="1"/>
  <c r="ED75" i="2"/>
  <c r="EF75" i="2" s="1"/>
  <c r="EG75" i="2" s="1"/>
  <c r="ED98" i="2"/>
  <c r="EE98" i="2"/>
  <c r="EF167" i="2"/>
  <c r="EG167" i="2" s="1"/>
  <c r="ED130" i="2"/>
  <c r="EE130" i="2"/>
  <c r="EF110" i="2"/>
  <c r="EG110" i="2" s="1"/>
  <c r="EF106" i="2"/>
  <c r="EG106" i="2" s="1"/>
  <c r="ED100" i="2"/>
  <c r="EE100" i="2"/>
  <c r="EF56" i="2"/>
  <c r="EG56" i="2" s="1"/>
  <c r="EF154" i="2"/>
  <c r="EG154" i="2" s="1"/>
  <c r="EE197" i="2"/>
  <c r="EF197" i="2" s="1"/>
  <c r="EG197" i="2" s="1"/>
  <c r="EE181" i="2"/>
  <c r="EF181" i="2" s="1"/>
  <c r="EG181" i="2" s="1"/>
  <c r="EF163" i="2"/>
  <c r="EG163" i="2" s="1"/>
  <c r="EF159" i="2"/>
  <c r="EG159" i="2" s="1"/>
  <c r="EF140" i="2"/>
  <c r="EG140" i="2" s="1"/>
  <c r="EF138" i="2"/>
  <c r="EG138" i="2" s="1"/>
  <c r="EF136" i="2"/>
  <c r="EG136" i="2" s="1"/>
  <c r="EF126" i="2"/>
  <c r="EG126" i="2" s="1"/>
  <c r="EF122" i="2"/>
  <c r="EG122" i="2" s="1"/>
  <c r="ED116" i="2"/>
  <c r="EF116" i="2" s="1"/>
  <c r="EG116" i="2" s="1"/>
  <c r="EE116" i="2"/>
  <c r="EF108" i="2"/>
  <c r="EG108" i="2" s="1"/>
  <c r="EE87" i="2"/>
  <c r="EF87" i="2" s="1"/>
  <c r="EG87" i="2" s="1"/>
  <c r="EF82" i="2"/>
  <c r="EG82" i="2" s="1"/>
  <c r="EF77" i="2"/>
  <c r="EG77" i="2" s="1"/>
  <c r="EE23" i="2"/>
  <c r="EF23" i="2" s="1"/>
  <c r="EG23" i="2" s="1"/>
  <c r="EE230" i="2"/>
  <c r="EF230" i="2" s="1"/>
  <c r="EG230" i="2" s="1"/>
  <c r="EE198" i="2"/>
  <c r="EF198" i="2" s="1"/>
  <c r="EG198" i="2" s="1"/>
  <c r="EF174" i="2"/>
  <c r="EG174" i="2" s="1"/>
  <c r="EE242" i="2"/>
  <c r="EF242" i="2" s="1"/>
  <c r="EG242" i="2" s="1"/>
  <c r="EE232" i="2"/>
  <c r="EF232" i="2" s="1"/>
  <c r="EG232" i="2" s="1"/>
  <c r="EE229" i="2"/>
  <c r="EF229" i="2" s="1"/>
  <c r="EG229" i="2" s="1"/>
  <c r="EE213" i="2"/>
  <c r="EF213" i="2" s="1"/>
  <c r="EG213" i="2" s="1"/>
  <c r="ED246" i="2"/>
  <c r="EF246" i="2" s="1"/>
  <c r="EG246" i="2" s="1"/>
  <c r="EE238" i="2"/>
  <c r="EF238" i="2" s="1"/>
  <c r="EG238" i="2" s="1"/>
  <c r="ED226" i="2"/>
  <c r="EF226" i="2" s="1"/>
  <c r="EG226" i="2" s="1"/>
  <c r="EE222" i="2"/>
  <c r="EE206" i="2"/>
  <c r="EF206" i="2" s="1"/>
  <c r="EG206" i="2" s="1"/>
  <c r="EE190" i="2"/>
  <c r="EF190" i="2" s="1"/>
  <c r="EG190" i="2" s="1"/>
  <c r="EE168" i="2"/>
  <c r="EF168" i="2" s="1"/>
  <c r="EG168" i="2" s="1"/>
  <c r="ED155" i="2"/>
  <c r="EF155" i="2" s="1"/>
  <c r="EG155" i="2" s="1"/>
  <c r="EF153" i="2"/>
  <c r="EG153" i="2" s="1"/>
  <c r="ED132" i="2"/>
  <c r="EE132" i="2"/>
  <c r="EE105" i="2"/>
  <c r="EF105" i="2" s="1"/>
  <c r="EG105" i="2" s="1"/>
  <c r="EF89" i="2"/>
  <c r="EG89" i="2" s="1"/>
  <c r="EF84" i="2"/>
  <c r="EG84" i="2" s="1"/>
  <c r="ED79" i="2"/>
  <c r="EF79" i="2" s="1"/>
  <c r="EG79" i="2" s="1"/>
  <c r="EF152" i="2"/>
  <c r="EG152" i="2" s="1"/>
  <c r="EE139" i="2"/>
  <c r="EF139" i="2" s="1"/>
  <c r="EG139" i="2" s="1"/>
  <c r="EE123" i="2"/>
  <c r="EF123" i="2" s="1"/>
  <c r="EG123" i="2" s="1"/>
  <c r="EE217" i="2"/>
  <c r="EF217" i="2" s="1"/>
  <c r="EG217" i="2" s="1"/>
  <c r="EE201" i="2"/>
  <c r="EF201" i="2" s="1"/>
  <c r="EG201" i="2" s="1"/>
  <c r="EE185" i="2"/>
  <c r="EF185" i="2" s="1"/>
  <c r="EG185" i="2" s="1"/>
  <c r="EE166" i="2"/>
  <c r="ED151" i="2"/>
  <c r="EF151" i="2" s="1"/>
  <c r="EG151" i="2" s="1"/>
  <c r="EE149" i="2"/>
  <c r="EF149" i="2" s="1"/>
  <c r="EG149" i="2" s="1"/>
  <c r="EE145" i="2"/>
  <c r="EF145" i="2" s="1"/>
  <c r="EG145" i="2" s="1"/>
  <c r="EE143" i="2"/>
  <c r="EE121" i="2"/>
  <c r="EF121" i="2" s="1"/>
  <c r="EG121" i="2" s="1"/>
  <c r="EE113" i="2"/>
  <c r="EF113" i="2" s="1"/>
  <c r="EG113" i="2" s="1"/>
  <c r="EE99" i="2"/>
  <c r="ED91" i="2"/>
  <c r="EF91" i="2" s="1"/>
  <c r="EG91" i="2" s="1"/>
  <c r="EE81" i="2"/>
  <c r="EF81" i="2" s="1"/>
  <c r="EG81" i="2" s="1"/>
  <c r="EE214" i="2"/>
  <c r="EF214" i="2" s="1"/>
  <c r="EG214" i="2" s="1"/>
  <c r="EF96" i="2"/>
  <c r="EG96" i="2" s="1"/>
  <c r="EF166" i="2"/>
  <c r="EG166" i="2" s="1"/>
  <c r="ED162" i="2"/>
  <c r="EF162" i="2" s="1"/>
  <c r="EG162" i="2" s="1"/>
  <c r="EE162" i="2"/>
  <c r="ED147" i="2"/>
  <c r="EF147" i="2" s="1"/>
  <c r="EG147" i="2" s="1"/>
  <c r="EF143" i="2"/>
  <c r="EG143" i="2" s="1"/>
  <c r="ED107" i="2"/>
  <c r="EF107" i="2" s="1"/>
  <c r="EG107" i="2" s="1"/>
  <c r="ED103" i="2"/>
  <c r="EF103" i="2" s="1"/>
  <c r="EG103" i="2" s="1"/>
  <c r="EF99" i="2"/>
  <c r="EG99" i="2" s="1"/>
  <c r="ED71" i="2"/>
  <c r="EF71" i="2" s="1"/>
  <c r="EG71" i="2" s="1"/>
  <c r="EF35" i="2"/>
  <c r="EG35" i="2" s="1"/>
  <c r="EF60" i="2"/>
  <c r="EG60" i="2" s="1"/>
  <c r="EE35" i="2"/>
  <c r="EF22" i="2"/>
  <c r="EG22" i="2" s="1"/>
  <c r="EF20" i="2"/>
  <c r="EG20" i="2" s="1"/>
  <c r="EF64" i="2"/>
  <c r="EG64" i="2" s="1"/>
  <c r="EF32" i="2"/>
  <c r="EG32" i="2" s="1"/>
  <c r="EE15" i="2"/>
  <c r="EF15" i="2" s="1"/>
  <c r="EG15" i="2" s="1"/>
  <c r="EF76" i="2"/>
  <c r="EG76" i="2" s="1"/>
  <c r="EF74" i="2"/>
  <c r="EG74" i="2" s="1"/>
  <c r="EF72" i="2"/>
  <c r="EG72" i="2" s="1"/>
  <c r="EF68" i="2"/>
  <c r="EG68" i="2" s="1"/>
  <c r="EF55" i="2"/>
  <c r="EG55" i="2" s="1"/>
  <c r="EE51" i="2"/>
  <c r="EF51" i="2" s="1"/>
  <c r="EG51" i="2" s="1"/>
  <c r="EF44" i="2"/>
  <c r="EG44" i="2" s="1"/>
  <c r="EF39" i="2"/>
  <c r="EG39" i="2" s="1"/>
  <c r="EF12" i="2"/>
  <c r="EG12" i="2" s="1"/>
  <c r="EF7" i="2"/>
  <c r="EG7" i="2" s="1"/>
  <c r="EF59" i="2"/>
  <c r="EG59" i="2" s="1"/>
  <c r="EE55" i="2"/>
  <c r="EE39" i="2"/>
  <c r="EF26" i="2"/>
  <c r="EG26" i="2" s="1"/>
  <c r="EF24" i="2"/>
  <c r="EG24" i="2" s="1"/>
  <c r="EE7" i="2"/>
  <c r="EF134" i="2"/>
  <c r="EG134" i="2" s="1"/>
  <c r="EF127" i="2"/>
  <c r="EG127" i="2" s="1"/>
  <c r="EF118" i="2"/>
  <c r="EG118" i="2" s="1"/>
  <c r="EF111" i="2"/>
  <c r="EG111" i="2" s="1"/>
  <c r="EF102" i="2"/>
  <c r="EG102" i="2" s="1"/>
  <c r="EF95" i="2"/>
  <c r="EG95" i="2" s="1"/>
  <c r="EE59" i="2"/>
  <c r="EF38" i="2"/>
  <c r="EG38" i="2" s="1"/>
  <c r="EF36" i="2"/>
  <c r="EG36" i="2" s="1"/>
  <c r="EE19" i="2"/>
  <c r="EF19" i="2" s="1"/>
  <c r="EG19" i="2" s="1"/>
  <c r="ED171" i="2"/>
  <c r="EF171" i="2" s="1"/>
  <c r="EG171" i="2" s="1"/>
  <c r="ED67" i="2"/>
  <c r="EF67" i="2" s="1"/>
  <c r="EG67" i="2" s="1"/>
  <c r="EE63" i="2"/>
  <c r="EF63" i="2" s="1"/>
  <c r="EG63" i="2" s="1"/>
  <c r="EF48" i="2"/>
  <c r="EG48" i="2" s="1"/>
  <c r="EE31" i="2"/>
  <c r="EF31" i="2" s="1"/>
  <c r="EG31" i="2" s="1"/>
  <c r="EF16" i="2"/>
  <c r="EG16" i="2" s="1"/>
  <c r="ED11" i="2"/>
  <c r="EF11" i="2" s="1"/>
  <c r="EG11" i="2" s="1"/>
  <c r="EE46" i="2"/>
  <c r="EF46" i="2" s="1"/>
  <c r="EG46" i="2" s="1"/>
  <c r="EE38" i="2"/>
  <c r="EE34" i="2"/>
  <c r="EF34" i="2" s="1"/>
  <c r="EG34" i="2" s="1"/>
  <c r="EE30" i="2"/>
  <c r="EF30" i="2" s="1"/>
  <c r="EG30" i="2" s="1"/>
  <c r="EE26" i="2"/>
  <c r="EE22" i="2"/>
  <c r="EE18" i="2"/>
  <c r="EF18" i="2" s="1"/>
  <c r="EG18" i="2" s="1"/>
  <c r="EE14" i="2"/>
  <c r="EF14" i="2" s="1"/>
  <c r="EG14" i="2" s="1"/>
  <c r="EE10" i="2"/>
  <c r="EF10" i="2" s="1"/>
  <c r="EG10" i="2" s="1"/>
  <c r="FC45" i="3"/>
  <c r="FC46" i="3" s="1"/>
  <c r="FC49" i="3" s="1"/>
  <c r="FC50" i="3" s="1"/>
  <c r="FC51" i="3" s="1"/>
  <c r="FC52" i="3" s="1"/>
  <c r="FC53" i="3" s="1"/>
  <c r="FC54" i="3" s="1"/>
  <c r="FC55" i="3" s="1"/>
  <c r="FC56" i="3" s="1"/>
  <c r="FC57" i="3" s="1"/>
  <c r="FC58" i="3" s="1"/>
  <c r="FC59" i="3" s="1"/>
  <c r="FC60" i="3" s="1"/>
  <c r="FC61" i="3" s="1"/>
  <c r="FC62" i="3" s="1"/>
  <c r="FC63" i="3" s="1"/>
  <c r="FC64" i="3" s="1"/>
  <c r="FC65" i="3" s="1"/>
  <c r="FC66" i="3" s="1"/>
  <c r="FC67" i="3" s="1"/>
  <c r="FC68" i="3" s="1"/>
  <c r="FC69" i="3" s="1"/>
  <c r="FC72" i="3" s="1"/>
  <c r="FC73" i="3" s="1"/>
  <c r="FC74" i="3" s="1"/>
  <c r="FC75" i="3" s="1"/>
  <c r="FC76" i="3" s="1"/>
  <c r="FC77" i="3" s="1"/>
  <c r="FC78" i="3" s="1"/>
  <c r="FC79" i="3" s="1"/>
  <c r="FC80" i="3" s="1"/>
  <c r="FC81" i="3" s="1"/>
  <c r="FC82" i="3" s="1"/>
  <c r="FC83" i="3" s="1"/>
  <c r="FC84" i="3" s="1"/>
  <c r="FC85" i="3" s="1"/>
  <c r="FC86" i="3" s="1"/>
  <c r="FC87" i="3" s="1"/>
  <c r="FC88" i="3" s="1"/>
  <c r="FC89" i="3" s="1"/>
  <c r="FC90" i="3" s="1"/>
  <c r="FC91" i="3" s="1"/>
  <c r="FC92" i="3" s="1"/>
  <c r="FC93" i="3" s="1"/>
  <c r="FC94" i="3" s="1"/>
  <c r="FC95" i="3" s="1"/>
  <c r="FC96" i="3" s="1"/>
  <c r="FC97" i="3" s="1"/>
  <c r="FC98" i="3" s="1"/>
  <c r="FC99" i="3" s="1"/>
  <c r="FC100" i="3" s="1"/>
  <c r="FC101" i="3" s="1"/>
  <c r="FC102" i="3" s="1"/>
  <c r="FC103" i="3" s="1"/>
  <c r="FC104" i="3" s="1"/>
  <c r="FC105" i="3" s="1"/>
  <c r="FC106" i="3" s="1"/>
  <c r="FC107" i="3" s="1"/>
  <c r="FC108" i="3" s="1"/>
  <c r="FC109" i="3" s="1"/>
  <c r="FC110" i="3" s="1"/>
  <c r="FC111" i="3" s="1"/>
  <c r="FC112" i="3" s="1"/>
  <c r="FC113" i="3" s="1"/>
  <c r="FC114" i="3" s="1"/>
  <c r="FC115" i="3" s="1"/>
  <c r="FC116" i="3" s="1"/>
  <c r="FC117" i="3" s="1"/>
  <c r="FC118" i="3" s="1"/>
  <c r="FC119" i="3" s="1"/>
  <c r="FC120" i="3" s="1"/>
  <c r="FC121" i="3" s="1"/>
  <c r="FC122" i="3" s="1"/>
  <c r="FC123" i="3" s="1"/>
  <c r="FC124" i="3" s="1"/>
  <c r="FC125" i="3" s="1"/>
  <c r="FC126" i="3" s="1"/>
  <c r="FC127" i="3" s="1"/>
  <c r="FC128" i="3" s="1"/>
  <c r="FC129" i="3" s="1"/>
  <c r="FC130" i="3" s="1"/>
  <c r="FC131" i="3" s="1"/>
  <c r="FC132" i="3" s="1"/>
  <c r="FC133" i="3" s="1"/>
  <c r="FC134" i="3" s="1"/>
  <c r="FC135" i="3" s="1"/>
  <c r="FC136" i="3" s="1"/>
  <c r="FC137" i="3" s="1"/>
  <c r="FC138" i="3" s="1"/>
  <c r="FC139" i="3" s="1"/>
  <c r="FC140" i="3" s="1"/>
  <c r="FC141" i="3" s="1"/>
  <c r="FC142" i="3" s="1"/>
  <c r="FC143" i="3" s="1"/>
  <c r="FC144" i="3" s="1"/>
  <c r="FC145" i="3" s="1"/>
  <c r="FC146" i="3" s="1"/>
  <c r="FC147" i="3" s="1"/>
  <c r="FC148" i="3" s="1"/>
  <c r="FC149" i="3" s="1"/>
  <c r="FC150" i="3" s="1"/>
  <c r="FC151" i="3" s="1"/>
  <c r="FC152" i="3" s="1"/>
  <c r="FC153" i="3" s="1"/>
  <c r="FC154" i="3" s="1"/>
  <c r="FC155" i="3" s="1"/>
  <c r="FC156" i="3" s="1"/>
  <c r="FC157" i="3" s="1"/>
  <c r="FC158" i="3" s="1"/>
  <c r="FC159" i="3" s="1"/>
  <c r="FC160" i="3" s="1"/>
  <c r="FC161" i="3" s="1"/>
  <c r="FC162" i="3" s="1"/>
  <c r="FC163" i="3" s="1"/>
  <c r="FC164" i="3" s="1"/>
  <c r="FC165" i="3" s="1"/>
  <c r="FC166" i="3" s="1"/>
  <c r="FC167" i="3" s="1"/>
  <c r="FC168" i="3" s="1"/>
  <c r="FC169" i="3" s="1"/>
  <c r="FC170" i="3" s="1"/>
  <c r="FC171" i="3" s="1"/>
  <c r="FC172" i="3" s="1"/>
  <c r="FC173" i="3" s="1"/>
  <c r="FC174" i="3" s="1"/>
  <c r="FC175" i="3" s="1"/>
  <c r="FC176" i="3" s="1"/>
  <c r="FC177" i="3" s="1"/>
  <c r="FC178" i="3" s="1"/>
  <c r="FC179" i="3" s="1"/>
  <c r="FC180" i="3" s="1"/>
  <c r="FC181" i="3" s="1"/>
  <c r="FC182" i="3" s="1"/>
  <c r="FC183" i="3" s="1"/>
  <c r="FC184" i="3" s="1"/>
  <c r="FC185" i="3" s="1"/>
  <c r="FC186" i="3" s="1"/>
  <c r="FC187" i="3" s="1"/>
  <c r="FC188" i="3" s="1"/>
  <c r="FC189" i="3" s="1"/>
  <c r="FC190" i="3" s="1"/>
  <c r="FC191" i="3" s="1"/>
  <c r="FC192" i="3" s="1"/>
  <c r="FC193" i="3" s="1"/>
  <c r="FC194" i="3" s="1"/>
  <c r="FC195" i="3" s="1"/>
  <c r="FC196" i="3" s="1"/>
  <c r="FC197" i="3" s="1"/>
  <c r="FC198" i="3" s="1"/>
  <c r="FC199" i="3" s="1"/>
  <c r="FC200" i="3" s="1"/>
  <c r="FC201" i="3" s="1"/>
  <c r="FC202" i="3" s="1"/>
  <c r="FC203" i="3" s="1"/>
  <c r="FC204" i="3" s="1"/>
  <c r="FC205" i="3" s="1"/>
  <c r="FC206" i="3" s="1"/>
  <c r="FC207" i="3" s="1"/>
  <c r="FC208" i="3" s="1"/>
  <c r="FC209" i="3" s="1"/>
  <c r="FC210" i="3" s="1"/>
  <c r="FC211" i="3" s="1"/>
  <c r="FC212" i="3" s="1"/>
  <c r="FC213" i="3" s="1"/>
  <c r="FC214" i="3" s="1"/>
  <c r="FC215" i="3" s="1"/>
  <c r="FC216" i="3" s="1"/>
  <c r="FC217" i="3" s="1"/>
  <c r="FC218" i="3" s="1"/>
  <c r="FC219" i="3" s="1"/>
  <c r="FC220" i="3" s="1"/>
  <c r="FC221" i="3" s="1"/>
  <c r="FC222" i="3" s="1"/>
  <c r="FC223" i="3" s="1"/>
  <c r="FC224" i="3" s="1"/>
  <c r="FC225" i="3" s="1"/>
  <c r="FC226" i="3" s="1"/>
  <c r="FC227" i="3" s="1"/>
  <c r="FC228" i="3" s="1"/>
  <c r="FC229" i="3" s="1"/>
  <c r="FC230" i="3" s="1"/>
  <c r="FC231" i="3" s="1"/>
  <c r="FC232" i="3" s="1"/>
  <c r="FC233" i="3" s="1"/>
  <c r="FC234" i="3" s="1"/>
  <c r="FC235" i="3" s="1"/>
  <c r="FC236" i="3" s="1"/>
  <c r="FC237" i="3" s="1"/>
  <c r="FC238" i="3" s="1"/>
  <c r="FC239" i="3" s="1"/>
  <c r="FC240" i="3" s="1"/>
  <c r="FC241" i="3" s="1"/>
  <c r="FC242" i="3" s="1"/>
  <c r="FC243" i="3" s="1"/>
  <c r="FC244" i="3" s="1"/>
  <c r="FC245" i="3" s="1"/>
  <c r="FC246" i="3" s="1"/>
  <c r="FC247" i="3" s="1"/>
  <c r="FC248" i="3" s="1"/>
  <c r="FC249" i="3" s="1"/>
  <c r="FC250" i="3" s="1"/>
  <c r="FC251" i="3" s="1"/>
  <c r="FC252" i="3" s="1"/>
  <c r="FC253" i="3" s="1"/>
  <c r="FC254" i="3" s="1"/>
  <c r="DW45" i="2"/>
  <c r="DW46" i="2" s="1"/>
  <c r="DW49" i="2" s="1"/>
  <c r="DW50" i="2" s="1"/>
  <c r="DW51" i="2" s="1"/>
  <c r="DW52" i="2" s="1"/>
  <c r="DW53" i="2" s="1"/>
  <c r="DW54" i="2" s="1"/>
  <c r="DW55" i="2" s="1"/>
  <c r="DW56" i="2" s="1"/>
  <c r="DW57" i="2" s="1"/>
  <c r="DW58" i="2" s="1"/>
  <c r="DW59" i="2" s="1"/>
  <c r="DW60" i="2" s="1"/>
  <c r="DW61" i="2" s="1"/>
  <c r="DW62" i="2" s="1"/>
  <c r="DW63" i="2" s="1"/>
  <c r="DW64" i="2" s="1"/>
  <c r="DW65" i="2" s="1"/>
  <c r="DW66" i="2" s="1"/>
  <c r="DW67" i="2" s="1"/>
  <c r="DW68" i="2" s="1"/>
  <c r="DW69" i="2" s="1"/>
  <c r="DW70" i="2" s="1"/>
  <c r="DW71" i="2" s="1"/>
  <c r="DW72" i="2" s="1"/>
  <c r="DW73" i="2" s="1"/>
  <c r="DW74" i="2" s="1"/>
  <c r="DW75" i="2" s="1"/>
  <c r="DW76" i="2" s="1"/>
  <c r="DW77" i="2" s="1"/>
  <c r="DW78" i="2" s="1"/>
  <c r="DW79" i="2" s="1"/>
  <c r="DW80" i="2" s="1"/>
  <c r="DW81" i="2" s="1"/>
  <c r="DW82" i="2" s="1"/>
  <c r="DW83" i="2" s="1"/>
  <c r="DW84" i="2" s="1"/>
  <c r="DW85" i="2" s="1"/>
  <c r="DW86" i="2" s="1"/>
  <c r="DW87" i="2" s="1"/>
  <c r="DW88" i="2" s="1"/>
  <c r="DW89" i="2" s="1"/>
  <c r="DW90" i="2" s="1"/>
  <c r="DW91" i="2" s="1"/>
  <c r="DW92" i="2" s="1"/>
  <c r="DW93" i="2" s="1"/>
  <c r="DW94" i="2" s="1"/>
  <c r="DW95" i="2" s="1"/>
  <c r="DW96" i="2" s="1"/>
  <c r="DW97" i="2" s="1"/>
  <c r="DW98" i="2" s="1"/>
  <c r="DW99" i="2" s="1"/>
  <c r="DW100" i="2" s="1"/>
  <c r="DW101" i="2" s="1"/>
  <c r="DW102" i="2" s="1"/>
  <c r="DW103" i="2" s="1"/>
  <c r="DW104" i="2" s="1"/>
  <c r="DW105" i="2" s="1"/>
  <c r="DW106" i="2" s="1"/>
  <c r="DW107" i="2" s="1"/>
  <c r="DW108" i="2" s="1"/>
  <c r="DW109" i="2" s="1"/>
  <c r="DW110" i="2" s="1"/>
  <c r="DW111" i="2" s="1"/>
  <c r="DW112" i="2" s="1"/>
  <c r="DW113" i="2" s="1"/>
  <c r="DW114" i="2" s="1"/>
  <c r="DW115" i="2" s="1"/>
  <c r="DW116" i="2" s="1"/>
  <c r="DW117" i="2" s="1"/>
  <c r="DW118" i="2" s="1"/>
  <c r="DW119" i="2" s="1"/>
  <c r="DW120" i="2" s="1"/>
  <c r="DW121" i="2" s="1"/>
  <c r="DW122" i="2" s="1"/>
  <c r="DW123" i="2" s="1"/>
  <c r="DW124" i="2" s="1"/>
  <c r="DW125" i="2" s="1"/>
  <c r="DW126" i="2" s="1"/>
  <c r="DW127" i="2" s="1"/>
  <c r="DW128" i="2" s="1"/>
  <c r="DW129" i="2" s="1"/>
  <c r="DW130" i="2" s="1"/>
  <c r="DW131" i="2" s="1"/>
  <c r="DW132" i="2" s="1"/>
  <c r="DW133" i="2" s="1"/>
  <c r="DW134" i="2" s="1"/>
  <c r="DW135" i="2" s="1"/>
  <c r="DW136" i="2" s="1"/>
  <c r="DW137" i="2" s="1"/>
  <c r="DW138" i="2" s="1"/>
  <c r="DW139" i="2" s="1"/>
  <c r="DW140" i="2" s="1"/>
  <c r="DW141" i="2" s="1"/>
  <c r="DW142" i="2" s="1"/>
  <c r="DW143" i="2" s="1"/>
  <c r="DW144" i="2" s="1"/>
  <c r="DW145" i="2" s="1"/>
  <c r="DW146" i="2" s="1"/>
  <c r="DW147" i="2" s="1"/>
  <c r="DW148" i="2" s="1"/>
  <c r="DW149" i="2" s="1"/>
  <c r="DW150" i="2" s="1"/>
  <c r="DW151" i="2" s="1"/>
  <c r="DW152" i="2" s="1"/>
  <c r="DW153" i="2" s="1"/>
  <c r="DW154" i="2" s="1"/>
  <c r="DW155" i="2" s="1"/>
  <c r="DW156" i="2" s="1"/>
  <c r="DW157" i="2" s="1"/>
  <c r="DW158" i="2" s="1"/>
  <c r="DW159" i="2" s="1"/>
  <c r="DW160" i="2" s="1"/>
  <c r="DW161" i="2" s="1"/>
  <c r="DW162" i="2" s="1"/>
  <c r="DW163" i="2" s="1"/>
  <c r="DW164" i="2" s="1"/>
  <c r="DW165" i="2" s="1"/>
  <c r="DW166" i="2" s="1"/>
  <c r="DW167" i="2" s="1"/>
  <c r="DW168" i="2" s="1"/>
  <c r="DW169" i="2" s="1"/>
  <c r="DW170" i="2" s="1"/>
  <c r="DW171" i="2" s="1"/>
  <c r="DW172" i="2" s="1"/>
  <c r="DW173" i="2" s="1"/>
  <c r="DW174" i="2" s="1"/>
  <c r="DW175" i="2" s="1"/>
  <c r="DW176" i="2" s="1"/>
  <c r="DW177" i="2" s="1"/>
  <c r="DW178" i="2" s="1"/>
  <c r="DW179" i="2" s="1"/>
  <c r="DW180" i="2" s="1"/>
  <c r="DW181" i="2" s="1"/>
  <c r="DW182" i="2" s="1"/>
  <c r="DW183" i="2" s="1"/>
  <c r="DW184" i="2" s="1"/>
  <c r="DW185" i="2" s="1"/>
  <c r="DW186" i="2" s="1"/>
  <c r="DW187" i="2" s="1"/>
  <c r="DW188" i="2" s="1"/>
  <c r="DW189" i="2" s="1"/>
  <c r="DW190" i="2" s="1"/>
  <c r="DW191" i="2" s="1"/>
  <c r="DW192" i="2" s="1"/>
  <c r="DW193" i="2" s="1"/>
  <c r="DW194" i="2" s="1"/>
  <c r="DW195" i="2" s="1"/>
  <c r="DW196" i="2" s="1"/>
  <c r="DW197" i="2" s="1"/>
  <c r="DW198" i="2" s="1"/>
  <c r="DW199" i="2" s="1"/>
  <c r="DW200" i="2" s="1"/>
  <c r="DW201" i="2" s="1"/>
  <c r="DW202" i="2" s="1"/>
  <c r="DW203" i="2" s="1"/>
  <c r="DW204" i="2" s="1"/>
  <c r="DW205" i="2" s="1"/>
  <c r="DW206" i="2" s="1"/>
  <c r="DW207" i="2" s="1"/>
  <c r="DW208" i="2" s="1"/>
  <c r="DW209" i="2" s="1"/>
  <c r="DW210" i="2" s="1"/>
  <c r="DW211" i="2" s="1"/>
  <c r="DW212" i="2" s="1"/>
  <c r="DW213" i="2" s="1"/>
  <c r="DW214" i="2" s="1"/>
  <c r="DW215" i="2" s="1"/>
  <c r="DW216" i="2" s="1"/>
  <c r="DW217" i="2" s="1"/>
  <c r="DW218" i="2" s="1"/>
  <c r="DW219" i="2" s="1"/>
  <c r="DW220" i="2" s="1"/>
  <c r="DW221" i="2" s="1"/>
  <c r="DW222" i="2" s="1"/>
  <c r="DW223" i="2" s="1"/>
  <c r="DW224" i="2" s="1"/>
  <c r="DW225" i="2" s="1"/>
  <c r="DW226" i="2" s="1"/>
  <c r="DW227" i="2" s="1"/>
  <c r="DW228" i="2" s="1"/>
  <c r="DW229" i="2" s="1"/>
  <c r="DW230" i="2" s="1"/>
  <c r="DW231" i="2" s="1"/>
  <c r="DW232" i="2" s="1"/>
  <c r="DW233" i="2" s="1"/>
  <c r="DW234" i="2" s="1"/>
  <c r="DW235" i="2" s="1"/>
  <c r="DW236" i="2" s="1"/>
  <c r="DW237" i="2" s="1"/>
  <c r="DW238" i="2" s="1"/>
  <c r="DW239" i="2" s="1"/>
  <c r="DW240" i="2" s="1"/>
  <c r="DW241" i="2" s="1"/>
  <c r="DW242" i="2" s="1"/>
  <c r="DW243" i="2" s="1"/>
  <c r="DW244" i="2" s="1"/>
  <c r="DW245" i="2" s="1"/>
  <c r="DW246" i="2" s="1"/>
  <c r="DW247" i="2" s="1"/>
  <c r="DW248" i="2" s="1"/>
  <c r="DW249" i="2" s="1"/>
  <c r="DW250" i="2" s="1"/>
  <c r="DW251" i="2" s="1"/>
  <c r="DW252" i="2" s="1"/>
  <c r="DW253" i="2" s="1"/>
  <c r="CL61" i="1"/>
  <c r="CL63" i="1"/>
  <c r="CL65" i="1"/>
  <c r="CL67" i="1"/>
  <c r="CL69" i="1"/>
  <c r="CL71" i="1"/>
  <c r="CL73" i="1"/>
  <c r="CL75" i="1"/>
  <c r="DX58" i="1"/>
  <c r="DX60" i="1"/>
  <c r="DX253" i="1"/>
  <c r="DX222" i="1"/>
  <c r="DX177" i="1"/>
  <c r="DX12" i="1"/>
  <c r="DX20" i="1"/>
  <c r="DX28" i="1"/>
  <c r="DX36" i="1"/>
  <c r="DX46" i="1"/>
  <c r="DX55" i="1"/>
  <c r="DX63" i="1"/>
  <c r="DX71" i="1"/>
  <c r="DX79" i="1"/>
  <c r="DX87" i="1"/>
  <c r="DX95" i="1"/>
  <c r="DX103" i="1"/>
  <c r="DX111" i="1"/>
  <c r="DX119" i="1"/>
  <c r="DX127" i="1"/>
  <c r="DX135" i="1"/>
  <c r="DX143" i="1"/>
  <c r="DX151" i="1"/>
  <c r="DX159" i="1"/>
  <c r="DX167" i="1"/>
  <c r="DX175" i="1"/>
  <c r="DX183" i="1"/>
  <c r="DX191" i="1"/>
  <c r="DX8" i="1"/>
  <c r="DX16" i="1"/>
  <c r="DX24" i="1"/>
  <c r="DX32" i="1"/>
  <c r="DX40" i="1"/>
  <c r="DX51" i="1"/>
  <c r="DX59" i="1"/>
  <c r="DX67" i="1"/>
  <c r="DX75" i="1"/>
  <c r="DX83" i="1"/>
  <c r="DX91" i="1"/>
  <c r="DX99" i="1"/>
  <c r="DX107" i="1"/>
  <c r="DX115" i="1"/>
  <c r="DX123" i="1"/>
  <c r="DX131" i="1"/>
  <c r="DX139" i="1"/>
  <c r="DX147" i="1"/>
  <c r="DX155" i="1"/>
  <c r="DX163" i="1"/>
  <c r="DX171" i="1"/>
  <c r="DX179" i="1"/>
  <c r="DX187" i="1"/>
  <c r="DX195" i="1"/>
  <c r="DX15" i="1"/>
  <c r="DX26" i="1"/>
  <c r="DX37" i="1"/>
  <c r="DX50" i="1"/>
  <c r="DX61" i="1"/>
  <c r="DX72" i="1"/>
  <c r="DX82" i="1"/>
  <c r="DX93" i="1"/>
  <c r="DX104" i="1"/>
  <c r="DX114" i="1"/>
  <c r="DX125" i="1"/>
  <c r="DX136" i="1"/>
  <c r="DX146" i="1"/>
  <c r="DX157" i="1"/>
  <c r="DX168" i="1"/>
  <c r="DX178" i="1"/>
  <c r="DX189" i="1"/>
  <c r="DX199" i="1"/>
  <c r="DX17" i="1"/>
  <c r="DX27" i="1"/>
  <c r="DX38" i="1"/>
  <c r="DX52" i="1"/>
  <c r="DX62" i="1"/>
  <c r="DX73" i="1"/>
  <c r="DX84" i="1"/>
  <c r="DX94" i="1"/>
  <c r="DX105" i="1"/>
  <c r="DX116" i="1"/>
  <c r="DX126" i="1"/>
  <c r="DX137" i="1"/>
  <c r="DX148" i="1"/>
  <c r="DX158" i="1"/>
  <c r="DX169" i="1"/>
  <c r="DX180" i="1"/>
  <c r="DX190" i="1"/>
  <c r="DX200" i="1"/>
  <c r="DX208" i="1"/>
  <c r="DX216" i="1"/>
  <c r="DX224" i="1"/>
  <c r="DX232" i="1"/>
  <c r="DX240" i="1"/>
  <c r="DX248" i="1"/>
  <c r="DX7" i="1"/>
  <c r="DX18" i="1"/>
  <c r="DX29" i="1"/>
  <c r="DX39" i="1"/>
  <c r="DX53" i="1"/>
  <c r="DX64" i="1"/>
  <c r="DX74" i="1"/>
  <c r="DX85" i="1"/>
  <c r="DX96" i="1"/>
  <c r="DX106" i="1"/>
  <c r="DX117" i="1"/>
  <c r="DX128" i="1"/>
  <c r="DX138" i="1"/>
  <c r="DX149" i="1"/>
  <c r="DX160" i="1"/>
  <c r="DX170" i="1"/>
  <c r="DX181" i="1"/>
  <c r="DX192" i="1"/>
  <c r="DX201" i="1"/>
  <c r="DX209" i="1"/>
  <c r="DX217" i="1"/>
  <c r="DX225" i="1"/>
  <c r="DX233" i="1"/>
  <c r="DX241" i="1"/>
  <c r="DX249" i="1"/>
  <c r="DX9" i="1"/>
  <c r="DX19" i="1"/>
  <c r="DX30" i="1"/>
  <c r="DX41" i="1"/>
  <c r="DX54" i="1"/>
  <c r="DX65" i="1"/>
  <c r="DX76" i="1"/>
  <c r="DX86" i="1"/>
  <c r="DX97" i="1"/>
  <c r="DX108" i="1"/>
  <c r="DX118" i="1"/>
  <c r="DX129" i="1"/>
  <c r="DX140" i="1"/>
  <c r="DX150" i="1"/>
  <c r="DX161" i="1"/>
  <c r="DX172" i="1"/>
  <c r="DX182" i="1"/>
  <c r="DX193" i="1"/>
  <c r="DX202" i="1"/>
  <c r="DX10" i="1"/>
  <c r="DX21" i="1"/>
  <c r="DX31" i="1"/>
  <c r="DX44" i="1"/>
  <c r="DX56" i="1"/>
  <c r="DX66" i="1"/>
  <c r="DX77" i="1"/>
  <c r="DX88" i="1"/>
  <c r="DX98" i="1"/>
  <c r="DX109" i="1"/>
  <c r="DX120" i="1"/>
  <c r="DX130" i="1"/>
  <c r="DX141" i="1"/>
  <c r="DX152" i="1"/>
  <c r="DX162" i="1"/>
  <c r="DX173" i="1"/>
  <c r="DX184" i="1"/>
  <c r="DX194" i="1"/>
  <c r="DX203" i="1"/>
  <c r="DX11" i="1"/>
  <c r="DX22" i="1"/>
  <c r="DX33" i="1"/>
  <c r="DX45" i="1"/>
  <c r="DX57" i="1"/>
  <c r="DX68" i="1"/>
  <c r="DX78" i="1"/>
  <c r="DX89" i="1"/>
  <c r="DX100" i="1"/>
  <c r="DX110" i="1"/>
  <c r="DX121" i="1"/>
  <c r="DX132" i="1"/>
  <c r="DX142" i="1"/>
  <c r="DX153" i="1"/>
  <c r="DX164" i="1"/>
  <c r="DX174" i="1"/>
  <c r="DX185" i="1"/>
  <c r="DX196" i="1"/>
  <c r="DX204" i="1"/>
  <c r="DX23" i="1"/>
  <c r="DX69" i="1"/>
  <c r="DX112" i="1"/>
  <c r="DX154" i="1"/>
  <c r="DX197" i="1"/>
  <c r="DX213" i="1"/>
  <c r="DX223" i="1"/>
  <c r="DX235" i="1"/>
  <c r="DX245" i="1"/>
  <c r="DX5" i="1"/>
  <c r="DX25" i="1"/>
  <c r="DX70" i="1"/>
  <c r="DX113" i="1"/>
  <c r="DX156" i="1"/>
  <c r="DX198" i="1"/>
  <c r="DX214" i="1"/>
  <c r="DX226" i="1"/>
  <c r="DX236" i="1"/>
  <c r="DX246" i="1"/>
  <c r="DX34" i="1"/>
  <c r="DX80" i="1"/>
  <c r="DX122" i="1"/>
  <c r="DX165" i="1"/>
  <c r="DX205" i="1"/>
  <c r="DX215" i="1"/>
  <c r="DX227" i="1"/>
  <c r="DX237" i="1"/>
  <c r="DX247" i="1"/>
  <c r="DX35" i="1"/>
  <c r="DX81" i="1"/>
  <c r="DX124" i="1"/>
  <c r="DX166" i="1"/>
  <c r="DX206" i="1"/>
  <c r="DX218" i="1"/>
  <c r="DX228" i="1"/>
  <c r="DX238" i="1"/>
  <c r="DX250" i="1"/>
  <c r="DX48" i="1"/>
  <c r="DX90" i="1"/>
  <c r="DX133" i="1"/>
  <c r="DX176" i="1"/>
  <c r="DX207" i="1"/>
  <c r="DX219" i="1"/>
  <c r="DX229" i="1"/>
  <c r="DX239" i="1"/>
  <c r="DX251" i="1"/>
  <c r="DX230" i="1"/>
  <c r="DX186" i="1"/>
  <c r="DX252" i="1"/>
  <c r="DX221" i="1"/>
  <c r="DX145" i="1"/>
  <c r="DX49" i="1"/>
  <c r="DX6" i="1"/>
  <c r="DX244" i="1"/>
  <c r="DX220" i="1"/>
  <c r="DX144" i="1"/>
  <c r="DX14" i="1"/>
  <c r="DX243" i="1"/>
  <c r="DX212" i="1"/>
  <c r="DX134" i="1"/>
  <c r="DX13" i="1"/>
  <c r="DX242" i="1"/>
  <c r="DX211" i="1"/>
  <c r="DX102" i="1"/>
  <c r="DX234" i="1"/>
  <c r="DX210" i="1"/>
  <c r="DX101" i="1"/>
  <c r="DX231" i="1"/>
  <c r="DX188" i="1"/>
  <c r="DX92" i="1"/>
  <c r="FN5" i="1"/>
  <c r="DY5" i="1"/>
  <c r="U34" i="6"/>
  <c r="U32" i="6"/>
  <c r="U33" i="6" s="1"/>
  <c r="U32" i="5"/>
  <c r="U30" i="5"/>
  <c r="U31" i="5" s="1"/>
  <c r="U30" i="4"/>
  <c r="U29" i="4"/>
  <c r="J25" i="3"/>
  <c r="BK72" i="3"/>
  <c r="BH109" i="3"/>
  <c r="BL109" i="3" s="1"/>
  <c r="AJ39" i="3"/>
  <c r="AJ30" i="3"/>
  <c r="BJ20" i="3" s="1"/>
  <c r="FN6" i="3"/>
  <c r="EP281" i="2"/>
  <c r="EO281" i="2"/>
  <c r="EN281" i="2"/>
  <c r="EM281" i="2"/>
  <c r="EL281" i="2"/>
  <c r="EK281" i="2"/>
  <c r="EJ281" i="2"/>
  <c r="EI281" i="2"/>
  <c r="EH281" i="2"/>
  <c r="EG281" i="2"/>
  <c r="EF281" i="2"/>
  <c r="EE281" i="2"/>
  <c r="ED281" i="2"/>
  <c r="EC281" i="2"/>
  <c r="EB281" i="2"/>
  <c r="J25" i="2"/>
  <c r="BJ20" i="2"/>
  <c r="BH109" i="2"/>
  <c r="BL109" i="2" s="1"/>
  <c r="BK70" i="2"/>
  <c r="O63" i="2"/>
  <c r="EC261" i="2" s="1"/>
  <c r="O64" i="2"/>
  <c r="ED261" i="2" s="1"/>
  <c r="O66" i="2"/>
  <c r="EF261" i="2" s="1"/>
  <c r="O69" i="2"/>
  <c r="EI261" i="2" s="1"/>
  <c r="O73" i="2"/>
  <c r="EM261" i="2" s="1"/>
  <c r="O74" i="2"/>
  <c r="EN261" i="2" s="1"/>
  <c r="O75" i="2"/>
  <c r="EO261" i="2" s="1"/>
  <c r="O65" i="2"/>
  <c r="EE261" i="2" s="1"/>
  <c r="O71" i="2"/>
  <c r="EK261" i="2" s="1"/>
  <c r="O76" i="2"/>
  <c r="EP261" i="2" s="1"/>
  <c r="AJ31" i="2"/>
  <c r="AJ34" i="2"/>
  <c r="O70" i="2"/>
  <c r="EJ261" i="2" s="1"/>
  <c r="O72" i="2"/>
  <c r="EL261" i="2" s="1"/>
  <c r="O61" i="2"/>
  <c r="O62" i="2"/>
  <c r="EB261" i="2" s="1"/>
  <c r="O67" i="2"/>
  <c r="EG261" i="2" s="1"/>
  <c r="O68" i="2"/>
  <c r="AJ29" i="2"/>
  <c r="FN6" i="2"/>
  <c r="DY6" i="2"/>
  <c r="EP281" i="1"/>
  <c r="EO281" i="1"/>
  <c r="EN281" i="1"/>
  <c r="EM281" i="1"/>
  <c r="EL281" i="1"/>
  <c r="EK281" i="1"/>
  <c r="EJ281" i="1"/>
  <c r="EI281" i="1"/>
  <c r="EH281" i="1"/>
  <c r="EG281" i="1"/>
  <c r="EF281" i="1"/>
  <c r="EE281" i="1"/>
  <c r="ED281" i="1"/>
  <c r="EC281" i="1"/>
  <c r="EB281" i="1"/>
  <c r="J25" i="1"/>
  <c r="BJ20" i="1"/>
  <c r="BH109" i="1"/>
  <c r="BL109" i="1" s="1"/>
  <c r="BK70" i="1"/>
  <c r="AJ31" i="1"/>
  <c r="AJ34" i="1"/>
  <c r="O70" i="1"/>
  <c r="EJ261" i="1" s="1"/>
  <c r="O65" i="1"/>
  <c r="EE261" i="1" s="1"/>
  <c r="O76" i="1"/>
  <c r="EP261" i="1" s="1"/>
  <c r="O61" i="1"/>
  <c r="O63" i="1"/>
  <c r="EC261" i="1" s="1"/>
  <c r="O64" i="1"/>
  <c r="ED261" i="1" s="1"/>
  <c r="O69" i="1"/>
  <c r="EI261" i="1" s="1"/>
  <c r="O71" i="1"/>
  <c r="EK261" i="1" s="1"/>
  <c r="O73" i="1"/>
  <c r="EM261" i="1" s="1"/>
  <c r="O62" i="1"/>
  <c r="EB261" i="1" s="1"/>
  <c r="O66" i="1"/>
  <c r="EF261" i="1" s="1"/>
  <c r="O67" i="1"/>
  <c r="EG261" i="1" s="1"/>
  <c r="O68" i="1"/>
  <c r="O72" i="1"/>
  <c r="EL261" i="1" s="1"/>
  <c r="O74" i="1"/>
  <c r="EN261" i="1" s="1"/>
  <c r="O75" i="1"/>
  <c r="EO261" i="1" s="1"/>
  <c r="AJ29" i="1"/>
  <c r="EP263" i="1"/>
  <c r="EN263" i="1"/>
  <c r="EM263" i="1"/>
  <c r="EL263" i="1"/>
  <c r="EK263" i="1"/>
  <c r="EJ263" i="1"/>
  <c r="EI263" i="1"/>
  <c r="EH263" i="1"/>
  <c r="EG263" i="1"/>
  <c r="EF263" i="1"/>
  <c r="EE263" i="1"/>
  <c r="ED263" i="1"/>
  <c r="EC263" i="1"/>
  <c r="EB263" i="1"/>
  <c r="EO263" i="1"/>
  <c r="FK18" i="3" l="1"/>
  <c r="FK40" i="3"/>
  <c r="FL40" i="3" s="1"/>
  <c r="FM40" i="3" s="1"/>
  <c r="FK178" i="3"/>
  <c r="FL5" i="3"/>
  <c r="FM5" i="3" s="1"/>
  <c r="FK219" i="3"/>
  <c r="FL240" i="3"/>
  <c r="FM240" i="3" s="1"/>
  <c r="FK189" i="3"/>
  <c r="FL189" i="3" s="1"/>
  <c r="FM189" i="3" s="1"/>
  <c r="FL238" i="3"/>
  <c r="FM238" i="3" s="1"/>
  <c r="FK121" i="3"/>
  <c r="FJ167" i="3"/>
  <c r="FL167" i="3" s="1"/>
  <c r="FM167" i="3" s="1"/>
  <c r="FL103" i="3"/>
  <c r="FM103" i="3" s="1"/>
  <c r="FK66" i="3"/>
  <c r="FL66" i="3" s="1"/>
  <c r="FM66" i="3" s="1"/>
  <c r="FK71" i="3"/>
  <c r="FL71" i="3" s="1"/>
  <c r="FM71" i="3" s="1"/>
  <c r="FK113" i="3"/>
  <c r="FL113" i="3" s="1"/>
  <c r="FM113" i="3" s="1"/>
  <c r="FL79" i="3"/>
  <c r="FM79" i="3" s="1"/>
  <c r="FK8" i="3"/>
  <c r="FL8" i="3" s="1"/>
  <c r="FM8" i="3" s="1"/>
  <c r="FL82" i="3"/>
  <c r="FM82" i="3" s="1"/>
  <c r="FL150" i="3"/>
  <c r="FM150" i="3" s="1"/>
  <c r="FK111" i="3"/>
  <c r="FL111" i="3" s="1"/>
  <c r="FM111" i="3" s="1"/>
  <c r="FK221" i="3"/>
  <c r="FL221" i="3" s="1"/>
  <c r="FM221" i="3" s="1"/>
  <c r="FJ252" i="3"/>
  <c r="FL252" i="3" s="1"/>
  <c r="FM252" i="3" s="1"/>
  <c r="FK175" i="3"/>
  <c r="FL175" i="3" s="1"/>
  <c r="FM175" i="3" s="1"/>
  <c r="FK38" i="3"/>
  <c r="FL38" i="3" s="1"/>
  <c r="FM38" i="3" s="1"/>
  <c r="FJ26" i="3"/>
  <c r="FL26" i="3" s="1"/>
  <c r="FM26" i="3" s="1"/>
  <c r="FL109" i="3"/>
  <c r="FM109" i="3" s="1"/>
  <c r="FL236" i="3"/>
  <c r="FM236" i="3" s="1"/>
  <c r="FL74" i="3"/>
  <c r="FM74" i="3" s="1"/>
  <c r="FK14" i="3"/>
  <c r="FL14" i="3" s="1"/>
  <c r="FM14" i="3" s="1"/>
  <c r="FJ35" i="3"/>
  <c r="FL35" i="3" s="1"/>
  <c r="FM35" i="3" s="1"/>
  <c r="FK19" i="3"/>
  <c r="FL19" i="3" s="1"/>
  <c r="FM19" i="3" s="1"/>
  <c r="FJ51" i="3"/>
  <c r="FL51" i="3" s="1"/>
  <c r="FM51" i="3" s="1"/>
  <c r="FL235" i="3"/>
  <c r="FM235" i="3" s="1"/>
  <c r="FK131" i="3"/>
  <c r="FL131" i="3" s="1"/>
  <c r="FM131" i="3" s="1"/>
  <c r="FJ187" i="3"/>
  <c r="FK142" i="3"/>
  <c r="FK162" i="3"/>
  <c r="FL162" i="3" s="1"/>
  <c r="FM162" i="3" s="1"/>
  <c r="FK135" i="3"/>
  <c r="FL135" i="3" s="1"/>
  <c r="FM135" i="3" s="1"/>
  <c r="FK222" i="3"/>
  <c r="FL222" i="3" s="1"/>
  <c r="FM222" i="3" s="1"/>
  <c r="FK88" i="3"/>
  <c r="FL88" i="3" s="1"/>
  <c r="FM88" i="3" s="1"/>
  <c r="FK107" i="3"/>
  <c r="FL107" i="3" s="1"/>
  <c r="FM107" i="3" s="1"/>
  <c r="FK59" i="3"/>
  <c r="FL59" i="3" s="1"/>
  <c r="FM59" i="3" s="1"/>
  <c r="FJ224" i="3"/>
  <c r="FL90" i="3"/>
  <c r="FM90" i="3" s="1"/>
  <c r="FK140" i="3"/>
  <c r="FL140" i="3" s="1"/>
  <c r="FM140" i="3" s="1"/>
  <c r="FK243" i="3"/>
  <c r="FL243" i="3" s="1"/>
  <c r="FM243" i="3" s="1"/>
  <c r="FL122" i="3"/>
  <c r="FM122" i="3" s="1"/>
  <c r="FK32" i="3"/>
  <c r="FL32" i="3" s="1"/>
  <c r="FM32" i="3" s="1"/>
  <c r="FK184" i="3"/>
  <c r="FL184" i="3" s="1"/>
  <c r="FM184" i="3" s="1"/>
  <c r="FK6" i="3"/>
  <c r="FL6" i="3" s="1"/>
  <c r="FM6" i="3" s="1"/>
  <c r="FJ99" i="3"/>
  <c r="FK190" i="3"/>
  <c r="FK254" i="3"/>
  <c r="FL254" i="3" s="1"/>
  <c r="FM254" i="3" s="1"/>
  <c r="FK194" i="3"/>
  <c r="FL194" i="3" s="1"/>
  <c r="FM194" i="3" s="1"/>
  <c r="FK10" i="3"/>
  <c r="FL10" i="3" s="1"/>
  <c r="FM10" i="3" s="1"/>
  <c r="FK86" i="3"/>
  <c r="FL86" i="3" s="1"/>
  <c r="FM86" i="3" s="1"/>
  <c r="FK134" i="3"/>
  <c r="FL134" i="3" s="1"/>
  <c r="FM134" i="3" s="1"/>
  <c r="FK50" i="3"/>
  <c r="FL50" i="3" s="1"/>
  <c r="FM50" i="3" s="1"/>
  <c r="FJ202" i="3"/>
  <c r="FL202" i="3" s="1"/>
  <c r="FM202" i="3" s="1"/>
  <c r="FK191" i="3"/>
  <c r="FL191" i="3" s="1"/>
  <c r="FM191" i="3" s="1"/>
  <c r="FK23" i="3"/>
  <c r="FL23" i="3" s="1"/>
  <c r="FM23" i="3" s="1"/>
  <c r="FK110" i="3"/>
  <c r="FL110" i="3" s="1"/>
  <c r="FM110" i="3" s="1"/>
  <c r="FK102" i="3"/>
  <c r="FL102" i="3" s="1"/>
  <c r="FM102" i="3" s="1"/>
  <c r="FJ248" i="3"/>
  <c r="FL248" i="3" s="1"/>
  <c r="FM248" i="3" s="1"/>
  <c r="FK223" i="3"/>
  <c r="FL223" i="3" s="1"/>
  <c r="FM223" i="3" s="1"/>
  <c r="FK48" i="3"/>
  <c r="FL48" i="3" s="1"/>
  <c r="FM48" i="3" s="1"/>
  <c r="FK72" i="3"/>
  <c r="FL72" i="3" s="1"/>
  <c r="FM72" i="3" s="1"/>
  <c r="FK186" i="3"/>
  <c r="FL186" i="3" s="1"/>
  <c r="FM186" i="3" s="1"/>
  <c r="FL172" i="3"/>
  <c r="FM172" i="3" s="1"/>
  <c r="FK63" i="3"/>
  <c r="FL63" i="3" s="1"/>
  <c r="FM63" i="3" s="1"/>
  <c r="FK218" i="3"/>
  <c r="FL218" i="3" s="1"/>
  <c r="FM218" i="3" s="1"/>
  <c r="FL144" i="3"/>
  <c r="FM144" i="3" s="1"/>
  <c r="FK56" i="3"/>
  <c r="FL56" i="3" s="1"/>
  <c r="FM56" i="3" s="1"/>
  <c r="FK244" i="3"/>
  <c r="FL244" i="3" s="1"/>
  <c r="FM244" i="3" s="1"/>
  <c r="FL234" i="3"/>
  <c r="FM234" i="3" s="1"/>
  <c r="FL250" i="3"/>
  <c r="FM250" i="3" s="1"/>
  <c r="FK246" i="3"/>
  <c r="FL246" i="3" s="1"/>
  <c r="FM246" i="3" s="1"/>
  <c r="FK16" i="3"/>
  <c r="FL16" i="3" s="1"/>
  <c r="FM16" i="3" s="1"/>
  <c r="FL213" i="3"/>
  <c r="FM213" i="3" s="1"/>
  <c r="FK31" i="3"/>
  <c r="FL31" i="3" s="1"/>
  <c r="FM31" i="3" s="1"/>
  <c r="FL18" i="3"/>
  <c r="FM18" i="3" s="1"/>
  <c r="FK80" i="3"/>
  <c r="FL80" i="3" s="1"/>
  <c r="FM80" i="3" s="1"/>
  <c r="FL116" i="3"/>
  <c r="FM116" i="3" s="1"/>
  <c r="FK245" i="3"/>
  <c r="FL245" i="3" s="1"/>
  <c r="FM245" i="3" s="1"/>
  <c r="FL168" i="3"/>
  <c r="FM168" i="3" s="1"/>
  <c r="FK55" i="3"/>
  <c r="FL55" i="3" s="1"/>
  <c r="FM55" i="3" s="1"/>
  <c r="FJ146" i="3"/>
  <c r="FL146" i="3" s="1"/>
  <c r="FM146" i="3" s="1"/>
  <c r="FK123" i="3"/>
  <c r="FJ123" i="3"/>
  <c r="FK207" i="3"/>
  <c r="FL207" i="3" s="1"/>
  <c r="FM207" i="3" s="1"/>
  <c r="FK24" i="3"/>
  <c r="FL24" i="3" s="1"/>
  <c r="FM24" i="3" s="1"/>
  <c r="FL142" i="3"/>
  <c r="FM142" i="3" s="1"/>
  <c r="FL190" i="3"/>
  <c r="FM190" i="3" s="1"/>
  <c r="FL219" i="3"/>
  <c r="FM219" i="3" s="1"/>
  <c r="FK216" i="3"/>
  <c r="FL216" i="3" s="1"/>
  <c r="FM216" i="3" s="1"/>
  <c r="FJ154" i="3"/>
  <c r="FK154" i="3"/>
  <c r="FJ75" i="3"/>
  <c r="FK75" i="3"/>
  <c r="FJ143" i="3"/>
  <c r="FK143" i="3"/>
  <c r="FK253" i="3"/>
  <c r="FL253" i="3" s="1"/>
  <c r="FM253" i="3" s="1"/>
  <c r="FL232" i="3"/>
  <c r="FM232" i="3" s="1"/>
  <c r="FK22" i="3"/>
  <c r="FL22" i="3" s="1"/>
  <c r="FM22" i="3" s="1"/>
  <c r="FJ170" i="3"/>
  <c r="FL170" i="3" s="1"/>
  <c r="FM170" i="3" s="1"/>
  <c r="FL153" i="3"/>
  <c r="FM153" i="3" s="1"/>
  <c r="FK147" i="3"/>
  <c r="FL147" i="3" s="1"/>
  <c r="FM147" i="3" s="1"/>
  <c r="FJ251" i="3"/>
  <c r="FL251" i="3" s="1"/>
  <c r="FM251" i="3" s="1"/>
  <c r="FK242" i="3"/>
  <c r="FL242" i="3" s="1"/>
  <c r="FM242" i="3" s="1"/>
  <c r="FJ67" i="3"/>
  <c r="FK67" i="3"/>
  <c r="FL121" i="3"/>
  <c r="FM121" i="3" s="1"/>
  <c r="FL60" i="3"/>
  <c r="FM60" i="3" s="1"/>
  <c r="FL73" i="3"/>
  <c r="FM73" i="3" s="1"/>
  <c r="FK27" i="3"/>
  <c r="FL27" i="3" s="1"/>
  <c r="FM27" i="3" s="1"/>
  <c r="FL139" i="3"/>
  <c r="FM139" i="3" s="1"/>
  <c r="FK112" i="3"/>
  <c r="FL112" i="3" s="1"/>
  <c r="FM112" i="3" s="1"/>
  <c r="FK39" i="3"/>
  <c r="FL39" i="3" s="1"/>
  <c r="FM39" i="3" s="1"/>
  <c r="FL178" i="3"/>
  <c r="FM178" i="3" s="1"/>
  <c r="FK199" i="3"/>
  <c r="FJ199" i="3"/>
  <c r="FK115" i="3"/>
  <c r="FJ115" i="3"/>
  <c r="FK239" i="3"/>
  <c r="FJ239" i="3"/>
  <c r="FJ15" i="3"/>
  <c r="FK15" i="3"/>
  <c r="FK58" i="3"/>
  <c r="FL58" i="3" s="1"/>
  <c r="FM58" i="3" s="1"/>
  <c r="FK30" i="3"/>
  <c r="FL30" i="3" s="1"/>
  <c r="FM30" i="3" s="1"/>
  <c r="FK11" i="3"/>
  <c r="FL11" i="3" s="1"/>
  <c r="FM11" i="3" s="1"/>
  <c r="FK136" i="3"/>
  <c r="FL136" i="3" s="1"/>
  <c r="FM136" i="3" s="1"/>
  <c r="FK149" i="3"/>
  <c r="FL149" i="3" s="1"/>
  <c r="FM149" i="3" s="1"/>
  <c r="FL92" i="3"/>
  <c r="FM92" i="3" s="1"/>
  <c r="FL217" i="3"/>
  <c r="FM217" i="3" s="1"/>
  <c r="FK34" i="3"/>
  <c r="FL34" i="3" s="1"/>
  <c r="FM34" i="3" s="1"/>
  <c r="FK159" i="3"/>
  <c r="FL159" i="3" s="1"/>
  <c r="FM159" i="3" s="1"/>
  <c r="FL181" i="3"/>
  <c r="FM181" i="3" s="1"/>
  <c r="FL171" i="3"/>
  <c r="FM171" i="3" s="1"/>
  <c r="FK231" i="3"/>
  <c r="FL231" i="3" s="1"/>
  <c r="FM231" i="3" s="1"/>
  <c r="FK128" i="3"/>
  <c r="FJ128" i="3"/>
  <c r="FJ215" i="3"/>
  <c r="FK215" i="3"/>
  <c r="FK132" i="3"/>
  <c r="FJ132" i="3"/>
  <c r="FL204" i="3"/>
  <c r="FM204" i="3" s="1"/>
  <c r="FL201" i="3"/>
  <c r="FM201" i="3" s="1"/>
  <c r="FL12" i="3"/>
  <c r="FM12" i="3" s="1"/>
  <c r="FL28" i="3"/>
  <c r="FM28" i="3" s="1"/>
  <c r="FJ87" i="3"/>
  <c r="FK87" i="3"/>
  <c r="FJ158" i="3"/>
  <c r="FK158" i="3"/>
  <c r="FJ133" i="3"/>
  <c r="FK133" i="3"/>
  <c r="FL36" i="3"/>
  <c r="FM36" i="3" s="1"/>
  <c r="FL211" i="3"/>
  <c r="FM211" i="3" s="1"/>
  <c r="FL169" i="3"/>
  <c r="FM169" i="3" s="1"/>
  <c r="FL174" i="3"/>
  <c r="FM174" i="3" s="1"/>
  <c r="FL20" i="3"/>
  <c r="FM20" i="3" s="1"/>
  <c r="FL105" i="3"/>
  <c r="FM105" i="3" s="1"/>
  <c r="FL65" i="3"/>
  <c r="FM65" i="3" s="1"/>
  <c r="FL52" i="3"/>
  <c r="FM52" i="3" s="1"/>
  <c r="FL89" i="3"/>
  <c r="FM89" i="3" s="1"/>
  <c r="FL7" i="3"/>
  <c r="FM7" i="3" s="1"/>
  <c r="FL206" i="3"/>
  <c r="FM206" i="3" s="1"/>
  <c r="FL249" i="3"/>
  <c r="FM249" i="3" s="1"/>
  <c r="FK64" i="3"/>
  <c r="FL64" i="3" s="1"/>
  <c r="FM64" i="3" s="1"/>
  <c r="FL44" i="3"/>
  <c r="FM44" i="3" s="1"/>
  <c r="FJ141" i="3"/>
  <c r="FK141" i="3"/>
  <c r="FJ183" i="3"/>
  <c r="FK183" i="3"/>
  <c r="FK151" i="3"/>
  <c r="FJ151" i="3"/>
  <c r="FL187" i="3"/>
  <c r="FM187" i="3" s="1"/>
  <c r="FK129" i="3"/>
  <c r="FJ129" i="3"/>
  <c r="FL97" i="3"/>
  <c r="FM97" i="3" s="1"/>
  <c r="FL98" i="3"/>
  <c r="FM98" i="3" s="1"/>
  <c r="FL95" i="3"/>
  <c r="FM95" i="3" s="1"/>
  <c r="FL81" i="3"/>
  <c r="FM81" i="3" s="1"/>
  <c r="FL99" i="3"/>
  <c r="FM99" i="3" s="1"/>
  <c r="FL224" i="3"/>
  <c r="FM224" i="3" s="1"/>
  <c r="FL179" i="3"/>
  <c r="FM179" i="3" s="1"/>
  <c r="FL185" i="3"/>
  <c r="FM185" i="3" s="1"/>
  <c r="FL124" i="3"/>
  <c r="FM124" i="3" s="1"/>
  <c r="FK120" i="3"/>
  <c r="FL120" i="3" s="1"/>
  <c r="FM120" i="3" s="1"/>
  <c r="FJ119" i="3"/>
  <c r="FK119" i="3"/>
  <c r="FL200" i="3"/>
  <c r="FM200" i="3" s="1"/>
  <c r="FL155" i="3"/>
  <c r="FM155" i="3" s="1"/>
  <c r="FL208" i="3"/>
  <c r="FM208" i="3" s="1"/>
  <c r="FL203" i="3"/>
  <c r="FM203" i="3" s="1"/>
  <c r="FL176" i="3"/>
  <c r="FM176" i="3" s="1"/>
  <c r="EF132" i="2"/>
  <c r="EG132" i="2" s="1"/>
  <c r="EF100" i="2"/>
  <c r="EG100" i="2" s="1"/>
  <c r="EF98" i="2"/>
  <c r="EG98" i="2" s="1"/>
  <c r="EF160" i="2"/>
  <c r="EG160" i="2" s="1"/>
  <c r="EF137" i="2"/>
  <c r="EG137" i="2" s="1"/>
  <c r="EF114" i="2"/>
  <c r="EG114" i="2" s="1"/>
  <c r="EF164" i="2"/>
  <c r="EG164" i="2" s="1"/>
  <c r="EF233" i="2"/>
  <c r="EG233" i="2" s="1"/>
  <c r="EF101" i="2"/>
  <c r="EG101" i="2" s="1"/>
  <c r="EF130" i="2"/>
  <c r="EG130" i="2" s="1"/>
  <c r="EF158" i="2"/>
  <c r="EG158" i="2" s="1"/>
  <c r="DZ54" i="1"/>
  <c r="DZ62" i="1"/>
  <c r="DZ70" i="1"/>
  <c r="DZ78" i="1"/>
  <c r="DZ86" i="1"/>
  <c r="DZ94" i="1"/>
  <c r="DZ102" i="1"/>
  <c r="DZ110" i="1"/>
  <c r="DZ118" i="1"/>
  <c r="DZ126" i="1"/>
  <c r="DZ134" i="1"/>
  <c r="DZ142" i="1"/>
  <c r="DZ150" i="1"/>
  <c r="DZ158" i="1"/>
  <c r="DZ166" i="1"/>
  <c r="DZ57" i="1"/>
  <c r="DZ65" i="1"/>
  <c r="DZ73" i="1"/>
  <c r="DZ81" i="1"/>
  <c r="DZ89" i="1"/>
  <c r="DZ97" i="1"/>
  <c r="DZ105" i="1"/>
  <c r="DZ113" i="1"/>
  <c r="DZ121" i="1"/>
  <c r="DZ129" i="1"/>
  <c r="DZ137" i="1"/>
  <c r="DZ145" i="1"/>
  <c r="DZ153" i="1"/>
  <c r="DZ161" i="1"/>
  <c r="DZ169" i="1"/>
  <c r="DZ177" i="1"/>
  <c r="DZ185" i="1"/>
  <c r="DZ193" i="1"/>
  <c r="DZ201" i="1"/>
  <c r="DZ209" i="1"/>
  <c r="DZ217" i="1"/>
  <c r="DZ225" i="1"/>
  <c r="DZ233" i="1"/>
  <c r="DZ241" i="1"/>
  <c r="DZ249" i="1"/>
  <c r="DZ51" i="1"/>
  <c r="DZ61" i="1"/>
  <c r="DZ72" i="1"/>
  <c r="DZ83" i="1"/>
  <c r="DZ93" i="1"/>
  <c r="DZ104" i="1"/>
  <c r="DZ115" i="1"/>
  <c r="DZ125" i="1"/>
  <c r="DZ136" i="1"/>
  <c r="DZ147" i="1"/>
  <c r="DZ157" i="1"/>
  <c r="DZ168" i="1"/>
  <c r="DZ178" i="1"/>
  <c r="DZ187" i="1"/>
  <c r="DZ196" i="1"/>
  <c r="DZ205" i="1"/>
  <c r="DZ214" i="1"/>
  <c r="DZ223" i="1"/>
  <c r="DZ232" i="1"/>
  <c r="DZ242" i="1"/>
  <c r="DZ251" i="1"/>
  <c r="DZ6" i="1"/>
  <c r="DZ14" i="1"/>
  <c r="DZ22" i="1"/>
  <c r="DZ30" i="1"/>
  <c r="DZ38" i="1"/>
  <c r="DZ195" i="1"/>
  <c r="DZ52" i="1"/>
  <c r="DZ63" i="1"/>
  <c r="DZ74" i="1"/>
  <c r="DZ84" i="1"/>
  <c r="DZ95" i="1"/>
  <c r="DZ106" i="1"/>
  <c r="DZ116" i="1"/>
  <c r="DZ127" i="1"/>
  <c r="DZ138" i="1"/>
  <c r="DZ148" i="1"/>
  <c r="DZ159" i="1"/>
  <c r="DZ170" i="1"/>
  <c r="DZ179" i="1"/>
  <c r="DZ188" i="1"/>
  <c r="DZ197" i="1"/>
  <c r="DZ206" i="1"/>
  <c r="DZ215" i="1"/>
  <c r="DZ224" i="1"/>
  <c r="DZ234" i="1"/>
  <c r="DZ243" i="1"/>
  <c r="DZ252" i="1"/>
  <c r="DZ7" i="1"/>
  <c r="DZ15" i="1"/>
  <c r="DZ23" i="1"/>
  <c r="DZ31" i="1"/>
  <c r="DZ39" i="1"/>
  <c r="DZ53" i="1"/>
  <c r="DZ64" i="1"/>
  <c r="DZ75" i="1"/>
  <c r="DZ85" i="1"/>
  <c r="DZ96" i="1"/>
  <c r="DZ107" i="1"/>
  <c r="DZ117" i="1"/>
  <c r="DZ128" i="1"/>
  <c r="DZ139" i="1"/>
  <c r="DZ149" i="1"/>
  <c r="DZ160" i="1"/>
  <c r="DZ171" i="1"/>
  <c r="DZ180" i="1"/>
  <c r="DZ189" i="1"/>
  <c r="DZ198" i="1"/>
  <c r="DZ207" i="1"/>
  <c r="DZ216" i="1"/>
  <c r="DZ226" i="1"/>
  <c r="DZ235" i="1"/>
  <c r="DZ244" i="1"/>
  <c r="DZ253" i="1"/>
  <c r="DZ8" i="1"/>
  <c r="DZ16" i="1"/>
  <c r="DZ24" i="1"/>
  <c r="DZ32" i="1"/>
  <c r="DZ40" i="1"/>
  <c r="DZ55" i="1"/>
  <c r="DZ66" i="1"/>
  <c r="DZ76" i="1"/>
  <c r="DZ87" i="1"/>
  <c r="DZ98" i="1"/>
  <c r="DZ108" i="1"/>
  <c r="DZ119" i="1"/>
  <c r="DZ130" i="1"/>
  <c r="DZ140" i="1"/>
  <c r="DZ151" i="1"/>
  <c r="DZ162" i="1"/>
  <c r="DZ172" i="1"/>
  <c r="DZ181" i="1"/>
  <c r="DZ190" i="1"/>
  <c r="DZ199" i="1"/>
  <c r="DZ208" i="1"/>
  <c r="DZ218" i="1"/>
  <c r="DZ227" i="1"/>
  <c r="DZ236" i="1"/>
  <c r="DZ245" i="1"/>
  <c r="DZ49" i="1"/>
  <c r="DZ9" i="1"/>
  <c r="DZ17" i="1"/>
  <c r="DZ25" i="1"/>
  <c r="DZ33" i="1"/>
  <c r="DZ41" i="1"/>
  <c r="DZ60" i="1"/>
  <c r="DZ92" i="1"/>
  <c r="DZ114" i="1"/>
  <c r="DZ146" i="1"/>
  <c r="DZ176" i="1"/>
  <c r="DZ204" i="1"/>
  <c r="DZ240" i="1"/>
  <c r="DZ13" i="1"/>
  <c r="DZ37" i="1"/>
  <c r="DZ56" i="1"/>
  <c r="DZ67" i="1"/>
  <c r="DZ77" i="1"/>
  <c r="DZ88" i="1"/>
  <c r="DZ99" i="1"/>
  <c r="DZ109" i="1"/>
  <c r="DZ120" i="1"/>
  <c r="DZ131" i="1"/>
  <c r="DZ141" i="1"/>
  <c r="DZ152" i="1"/>
  <c r="DZ163" i="1"/>
  <c r="DZ173" i="1"/>
  <c r="DZ182" i="1"/>
  <c r="DZ191" i="1"/>
  <c r="DZ200" i="1"/>
  <c r="DZ210" i="1"/>
  <c r="DZ219" i="1"/>
  <c r="DZ228" i="1"/>
  <c r="DZ237" i="1"/>
  <c r="DZ246" i="1"/>
  <c r="DZ48" i="1"/>
  <c r="DZ10" i="1"/>
  <c r="DZ18" i="1"/>
  <c r="DZ26" i="1"/>
  <c r="DZ34" i="1"/>
  <c r="DZ5" i="1"/>
  <c r="DZ21" i="1"/>
  <c r="DZ58" i="1"/>
  <c r="DZ68" i="1"/>
  <c r="DZ79" i="1"/>
  <c r="DZ90" i="1"/>
  <c r="DZ100" i="1"/>
  <c r="DZ111" i="1"/>
  <c r="DZ122" i="1"/>
  <c r="DZ132" i="1"/>
  <c r="DZ143" i="1"/>
  <c r="DZ154" i="1"/>
  <c r="DZ164" i="1"/>
  <c r="DZ174" i="1"/>
  <c r="DZ183" i="1"/>
  <c r="DZ192" i="1"/>
  <c r="DZ202" i="1"/>
  <c r="DZ211" i="1"/>
  <c r="DZ220" i="1"/>
  <c r="DZ229" i="1"/>
  <c r="DZ238" i="1"/>
  <c r="DZ247" i="1"/>
  <c r="DZ45" i="1"/>
  <c r="DZ11" i="1"/>
  <c r="DZ19" i="1"/>
  <c r="DZ27" i="1"/>
  <c r="DZ35" i="1"/>
  <c r="DZ20" i="1"/>
  <c r="DZ50" i="1"/>
  <c r="DZ124" i="1"/>
  <c r="DZ167" i="1"/>
  <c r="DZ222" i="1"/>
  <c r="DZ44" i="1"/>
  <c r="DZ59" i="1"/>
  <c r="DZ69" i="1"/>
  <c r="DZ80" i="1"/>
  <c r="DZ91" i="1"/>
  <c r="DZ101" i="1"/>
  <c r="DZ112" i="1"/>
  <c r="DZ123" i="1"/>
  <c r="DZ133" i="1"/>
  <c r="DZ144" i="1"/>
  <c r="DZ155" i="1"/>
  <c r="DZ165" i="1"/>
  <c r="DZ175" i="1"/>
  <c r="DZ184" i="1"/>
  <c r="DZ194" i="1"/>
  <c r="DZ203" i="1"/>
  <c r="DZ212" i="1"/>
  <c r="DZ221" i="1"/>
  <c r="DZ230" i="1"/>
  <c r="DZ239" i="1"/>
  <c r="DZ248" i="1"/>
  <c r="DZ46" i="1"/>
  <c r="DZ12" i="1"/>
  <c r="DZ28" i="1"/>
  <c r="DZ36" i="1"/>
  <c r="DZ71" i="1"/>
  <c r="DZ82" i="1"/>
  <c r="DZ103" i="1"/>
  <c r="DZ135" i="1"/>
  <c r="DZ156" i="1"/>
  <c r="DZ186" i="1"/>
  <c r="DZ213" i="1"/>
  <c r="DZ231" i="1"/>
  <c r="DZ250" i="1"/>
  <c r="DZ29" i="1"/>
  <c r="DY6" i="1"/>
  <c r="FN6" i="1"/>
  <c r="I61" i="3"/>
  <c r="CO60" i="3" s="1"/>
  <c r="BK61" i="3"/>
  <c r="BK65" i="3"/>
  <c r="FE265" i="3"/>
  <c r="FE278" i="3"/>
  <c r="AJ40" i="3"/>
  <c r="W119" i="3" s="1"/>
  <c r="AJ45" i="3"/>
  <c r="BK64" i="3"/>
  <c r="W120" i="3"/>
  <c r="AJ35" i="3"/>
  <c r="AJ36" i="3"/>
  <c r="FF272" i="3"/>
  <c r="FI272" i="3"/>
  <c r="FL266" i="3"/>
  <c r="FE272" i="3"/>
  <c r="FJ272" i="3"/>
  <c r="FK272" i="3"/>
  <c r="FJ266" i="3"/>
  <c r="FK266" i="3"/>
  <c r="FG272" i="3"/>
  <c r="FH272" i="3"/>
  <c r="FL272" i="3"/>
  <c r="FF266" i="3"/>
  <c r="FG266" i="3"/>
  <c r="FH266" i="3"/>
  <c r="FI266" i="3"/>
  <c r="AJ31" i="3"/>
  <c r="N61" i="3"/>
  <c r="N62" i="3"/>
  <c r="FF264" i="3" s="1"/>
  <c r="N63" i="3"/>
  <c r="FG264" i="3" s="1"/>
  <c r="N64" i="3"/>
  <c r="FH264" i="3" s="1"/>
  <c r="N65" i="3"/>
  <c r="FI264" i="3" s="1"/>
  <c r="N66" i="3"/>
  <c r="FJ264" i="3" s="1"/>
  <c r="N67" i="3"/>
  <c r="FK264" i="3" s="1"/>
  <c r="N68" i="3"/>
  <c r="FL264" i="3" s="1"/>
  <c r="N69" i="3"/>
  <c r="FE270" i="3" s="1"/>
  <c r="N70" i="3"/>
  <c r="FF270" i="3" s="1"/>
  <c r="N71" i="3"/>
  <c r="FG270" i="3" s="1"/>
  <c r="N72" i="3"/>
  <c r="FH270" i="3" s="1"/>
  <c r="N73" i="3"/>
  <c r="FI270" i="3" s="1"/>
  <c r="N74" i="3"/>
  <c r="FJ270" i="3" s="1"/>
  <c r="N75" i="3"/>
  <c r="FK270" i="3" s="1"/>
  <c r="N76" i="3"/>
  <c r="FL270" i="3" s="1"/>
  <c r="AJ29" i="3"/>
  <c r="FN7" i="3"/>
  <c r="I61" i="2"/>
  <c r="CO60" i="2" s="1"/>
  <c r="BK61" i="2"/>
  <c r="EA262" i="2"/>
  <c r="EA275" i="2"/>
  <c r="BK64" i="2"/>
  <c r="AJ40" i="2"/>
  <c r="AJ35" i="2"/>
  <c r="W119" i="2" s="1"/>
  <c r="W120" i="2"/>
  <c r="EA261" i="2"/>
  <c r="BJ22" i="2"/>
  <c r="BF14" i="2" s="1"/>
  <c r="BN14" i="2" s="1"/>
  <c r="AJ28" i="2"/>
  <c r="BH108" i="2"/>
  <c r="FN7" i="2"/>
  <c r="DY7" i="2"/>
  <c r="I61" i="1"/>
  <c r="CO60" i="1" s="1"/>
  <c r="EA262" i="1"/>
  <c r="EA275" i="1"/>
  <c r="BK61" i="1"/>
  <c r="AJ35" i="1"/>
  <c r="W119" i="1" s="1"/>
  <c r="IJ37" i="1"/>
  <c r="W120" i="1"/>
  <c r="BK64" i="1"/>
  <c r="EC5" i="1"/>
  <c r="EC6" i="1"/>
  <c r="EA261" i="1"/>
  <c r="BJ22" i="1"/>
  <c r="BF14" i="1" s="1"/>
  <c r="BN14" i="1" s="1"/>
  <c r="BH108" i="1"/>
  <c r="AJ28" i="1"/>
  <c r="FL129" i="3" l="1"/>
  <c r="FM129" i="3" s="1"/>
  <c r="FL239" i="3"/>
  <c r="FM239" i="3" s="1"/>
  <c r="FL123" i="3"/>
  <c r="FM123" i="3" s="1"/>
  <c r="FL183" i="3"/>
  <c r="FM183" i="3" s="1"/>
  <c r="FL133" i="3"/>
  <c r="FM133" i="3" s="1"/>
  <c r="FL128" i="3"/>
  <c r="FM128" i="3" s="1"/>
  <c r="FL143" i="3"/>
  <c r="FM143" i="3" s="1"/>
  <c r="FL132" i="3"/>
  <c r="FM132" i="3" s="1"/>
  <c r="FL115" i="3"/>
  <c r="FM115" i="3" s="1"/>
  <c r="FL199" i="3"/>
  <c r="FM199" i="3" s="1"/>
  <c r="FL67" i="3"/>
  <c r="FM67" i="3" s="1"/>
  <c r="FL154" i="3"/>
  <c r="FM154" i="3" s="1"/>
  <c r="FL151" i="3"/>
  <c r="FM151" i="3" s="1"/>
  <c r="FL15" i="3"/>
  <c r="FM15" i="3" s="1"/>
  <c r="FL119" i="3"/>
  <c r="FM119" i="3" s="1"/>
  <c r="FL158" i="3"/>
  <c r="FM158" i="3" s="1"/>
  <c r="FL141" i="3"/>
  <c r="FM141" i="3" s="1"/>
  <c r="FL75" i="3"/>
  <c r="FM75" i="3" s="1"/>
  <c r="FL87" i="3"/>
  <c r="FM87" i="3" s="1"/>
  <c r="FL215" i="3"/>
  <c r="FM215" i="3" s="1"/>
  <c r="EA8" i="1"/>
  <c r="EA16" i="1"/>
  <c r="EA24" i="1"/>
  <c r="EA32" i="1"/>
  <c r="EA40" i="1"/>
  <c r="EA51" i="1"/>
  <c r="EA59" i="1"/>
  <c r="EA67" i="1"/>
  <c r="EA75" i="1"/>
  <c r="EA83" i="1"/>
  <c r="EA9" i="1"/>
  <c r="EA17" i="1"/>
  <c r="EA25" i="1"/>
  <c r="EA33" i="1"/>
  <c r="EA41" i="1"/>
  <c r="EA52" i="1"/>
  <c r="EA60" i="1"/>
  <c r="EA68" i="1"/>
  <c r="EA76" i="1"/>
  <c r="EA84" i="1"/>
  <c r="EA92" i="1"/>
  <c r="EA100" i="1"/>
  <c r="EA11" i="1"/>
  <c r="EA21" i="1"/>
  <c r="EA31" i="1"/>
  <c r="EA45" i="1"/>
  <c r="EA56" i="1"/>
  <c r="EA66" i="1"/>
  <c r="EA78" i="1"/>
  <c r="EA88" i="1"/>
  <c r="EA97" i="1"/>
  <c r="EA106" i="1"/>
  <c r="EA114" i="1"/>
  <c r="EA122" i="1"/>
  <c r="EA130" i="1"/>
  <c r="EA12" i="1"/>
  <c r="EA22" i="1"/>
  <c r="EA34" i="1"/>
  <c r="EA46" i="1"/>
  <c r="EA57" i="1"/>
  <c r="EA69" i="1"/>
  <c r="EA79" i="1"/>
  <c r="EA89" i="1"/>
  <c r="EA98" i="1"/>
  <c r="EA107" i="1"/>
  <c r="EA115" i="1"/>
  <c r="EA123" i="1"/>
  <c r="EA131" i="1"/>
  <c r="EA139" i="1"/>
  <c r="EA147" i="1"/>
  <c r="EA155" i="1"/>
  <c r="EA163" i="1"/>
  <c r="EA171" i="1"/>
  <c r="EA179" i="1"/>
  <c r="EA187" i="1"/>
  <c r="EA195" i="1"/>
  <c r="EA203" i="1"/>
  <c r="EA211" i="1"/>
  <c r="EA219" i="1"/>
  <c r="EA227" i="1"/>
  <c r="EA235" i="1"/>
  <c r="EA243" i="1"/>
  <c r="EA251" i="1"/>
  <c r="EA13" i="1"/>
  <c r="EA23" i="1"/>
  <c r="EA35" i="1"/>
  <c r="EA48" i="1"/>
  <c r="EA58" i="1"/>
  <c r="EA70" i="1"/>
  <c r="EA80" i="1"/>
  <c r="EA90" i="1"/>
  <c r="EA99" i="1"/>
  <c r="EA108" i="1"/>
  <c r="EA116" i="1"/>
  <c r="EA124" i="1"/>
  <c r="EA132" i="1"/>
  <c r="EA14" i="1"/>
  <c r="EA26" i="1"/>
  <c r="EA36" i="1"/>
  <c r="EA49" i="1"/>
  <c r="EA61" i="1"/>
  <c r="EA71" i="1"/>
  <c r="EA81" i="1"/>
  <c r="EA91" i="1"/>
  <c r="EA101" i="1"/>
  <c r="EA109" i="1"/>
  <c r="EA117" i="1"/>
  <c r="EA125" i="1"/>
  <c r="EA15" i="1"/>
  <c r="EA27" i="1"/>
  <c r="EA37" i="1"/>
  <c r="EA50" i="1"/>
  <c r="EA62" i="1"/>
  <c r="EA72" i="1"/>
  <c r="EA82" i="1"/>
  <c r="EA93" i="1"/>
  <c r="EA102" i="1"/>
  <c r="EA110" i="1"/>
  <c r="EA118" i="1"/>
  <c r="EA126" i="1"/>
  <c r="EA134" i="1"/>
  <c r="EA142" i="1"/>
  <c r="EA150" i="1"/>
  <c r="EA158" i="1"/>
  <c r="EA166" i="1"/>
  <c r="EA174" i="1"/>
  <c r="EA182" i="1"/>
  <c r="EA190" i="1"/>
  <c r="EA198" i="1"/>
  <c r="EA206" i="1"/>
  <c r="EA214" i="1"/>
  <c r="EA222" i="1"/>
  <c r="EA230" i="1"/>
  <c r="EA238" i="1"/>
  <c r="EA246" i="1"/>
  <c r="EA5" i="1"/>
  <c r="EE5" i="1" s="1"/>
  <c r="EA18" i="1"/>
  <c r="EA44" i="1"/>
  <c r="EA74" i="1"/>
  <c r="EA103" i="1"/>
  <c r="EA121" i="1"/>
  <c r="EA138" i="1"/>
  <c r="EA149" i="1"/>
  <c r="EA160" i="1"/>
  <c r="EA170" i="1"/>
  <c r="EA181" i="1"/>
  <c r="EA192" i="1"/>
  <c r="EA202" i="1"/>
  <c r="EA213" i="1"/>
  <c r="EA224" i="1"/>
  <c r="EA234" i="1"/>
  <c r="EA245" i="1"/>
  <c r="EA10" i="1"/>
  <c r="EA19" i="1"/>
  <c r="EA53" i="1"/>
  <c r="EA77" i="1"/>
  <c r="EA104" i="1"/>
  <c r="EA127" i="1"/>
  <c r="EA140" i="1"/>
  <c r="EA151" i="1"/>
  <c r="EA161" i="1"/>
  <c r="EA172" i="1"/>
  <c r="EA183" i="1"/>
  <c r="EA193" i="1"/>
  <c r="EA204" i="1"/>
  <c r="EA215" i="1"/>
  <c r="EA225" i="1"/>
  <c r="EA236" i="1"/>
  <c r="EA247" i="1"/>
  <c r="EA20" i="1"/>
  <c r="EA54" i="1"/>
  <c r="EA85" i="1"/>
  <c r="EA105" i="1"/>
  <c r="EA128" i="1"/>
  <c r="EA141" i="1"/>
  <c r="EA152" i="1"/>
  <c r="EA162" i="1"/>
  <c r="EA173" i="1"/>
  <c r="EA184" i="1"/>
  <c r="EA194" i="1"/>
  <c r="EA205" i="1"/>
  <c r="EA216" i="1"/>
  <c r="EA226" i="1"/>
  <c r="EA237" i="1"/>
  <c r="EA248" i="1"/>
  <c r="EA28" i="1"/>
  <c r="EA55" i="1"/>
  <c r="EA86" i="1"/>
  <c r="EA111" i="1"/>
  <c r="EA129" i="1"/>
  <c r="EA143" i="1"/>
  <c r="EA153" i="1"/>
  <c r="EA164" i="1"/>
  <c r="EA175" i="1"/>
  <c r="EA185" i="1"/>
  <c r="EA196" i="1"/>
  <c r="EA207" i="1"/>
  <c r="EA217" i="1"/>
  <c r="EA228" i="1"/>
  <c r="EA239" i="1"/>
  <c r="EA249" i="1"/>
  <c r="EA96" i="1"/>
  <c r="EA137" i="1"/>
  <c r="EA169" i="1"/>
  <c r="EA191" i="1"/>
  <c r="EA212" i="1"/>
  <c r="EA233" i="1"/>
  <c r="EA29" i="1"/>
  <c r="EA63" i="1"/>
  <c r="EA87" i="1"/>
  <c r="EA112" i="1"/>
  <c r="EA133" i="1"/>
  <c r="EA144" i="1"/>
  <c r="EA154" i="1"/>
  <c r="EA165" i="1"/>
  <c r="EA176" i="1"/>
  <c r="EA186" i="1"/>
  <c r="EA197" i="1"/>
  <c r="EA208" i="1"/>
  <c r="EA218" i="1"/>
  <c r="EA229" i="1"/>
  <c r="EA240" i="1"/>
  <c r="EA250" i="1"/>
  <c r="EA6" i="1"/>
  <c r="EE6" i="1" s="1"/>
  <c r="EA30" i="1"/>
  <c r="EA64" i="1"/>
  <c r="EA94" i="1"/>
  <c r="EA113" i="1"/>
  <c r="EA135" i="1"/>
  <c r="EA145" i="1"/>
  <c r="EA156" i="1"/>
  <c r="EA167" i="1"/>
  <c r="EA177" i="1"/>
  <c r="EA188" i="1"/>
  <c r="EA199" i="1"/>
  <c r="EA209" i="1"/>
  <c r="EA220" i="1"/>
  <c r="EA231" i="1"/>
  <c r="EA241" i="1"/>
  <c r="EA252" i="1"/>
  <c r="EA73" i="1"/>
  <c r="EA159" i="1"/>
  <c r="EA7" i="1"/>
  <c r="EA38" i="1"/>
  <c r="EA65" i="1"/>
  <c r="EA95" i="1"/>
  <c r="EA119" i="1"/>
  <c r="EA136" i="1"/>
  <c r="EA146" i="1"/>
  <c r="EA157" i="1"/>
  <c r="EA168" i="1"/>
  <c r="EA178" i="1"/>
  <c r="EA189" i="1"/>
  <c r="EA200" i="1"/>
  <c r="EA210" i="1"/>
  <c r="EA221" i="1"/>
  <c r="EA232" i="1"/>
  <c r="EA242" i="1"/>
  <c r="EA253" i="1"/>
  <c r="EA39" i="1"/>
  <c r="EA120" i="1"/>
  <c r="EA148" i="1"/>
  <c r="EA180" i="1"/>
  <c r="EA201" i="1"/>
  <c r="EA223" i="1"/>
  <c r="EA244" i="1"/>
  <c r="FN7" i="1"/>
  <c r="DY7" i="1"/>
  <c r="FE266" i="3"/>
  <c r="AK21" i="3"/>
  <c r="BJ23" i="3"/>
  <c r="FE279" i="3"/>
  <c r="I77" i="3" s="1"/>
  <c r="FE281" i="3"/>
  <c r="FE283" i="3" s="1"/>
  <c r="FE282" i="3"/>
  <c r="O46" i="3"/>
  <c r="BE65" i="3"/>
  <c r="FF280" i="3"/>
  <c r="FF281" i="3" s="1"/>
  <c r="FG280" i="3"/>
  <c r="FG281" i="3" s="1"/>
  <c r="FH280" i="3"/>
  <c r="FH281" i="3" s="1"/>
  <c r="FI280" i="3"/>
  <c r="FI281" i="3" s="1"/>
  <c r="FJ280" i="3"/>
  <c r="FJ281" i="3" s="1"/>
  <c r="FK280" i="3"/>
  <c r="FK281" i="3" s="1"/>
  <c r="FL280" i="3"/>
  <c r="FL281" i="3" s="1"/>
  <c r="FM280" i="3"/>
  <c r="FM281" i="3" s="1"/>
  <c r="FN280" i="3"/>
  <c r="FN281" i="3" s="1"/>
  <c r="FO280" i="3"/>
  <c r="FO281" i="3" s="1"/>
  <c r="FP280" i="3"/>
  <c r="FP281" i="3" s="1"/>
  <c r="FQ280" i="3"/>
  <c r="FQ281" i="3" s="1"/>
  <c r="FR280" i="3"/>
  <c r="FR281" i="3" s="1"/>
  <c r="FS280" i="3"/>
  <c r="FS281" i="3" s="1"/>
  <c r="FT280" i="3"/>
  <c r="FT281" i="3" s="1"/>
  <c r="BH110" i="3"/>
  <c r="BL110" i="3" s="1"/>
  <c r="AJ34" i="3"/>
  <c r="AJ37" i="3"/>
  <c r="FE264" i="3"/>
  <c r="BJ22" i="3"/>
  <c r="BF14" i="3" s="1"/>
  <c r="BN14" i="3" s="1"/>
  <c r="BH108" i="3"/>
  <c r="AJ28" i="3"/>
  <c r="FN8" i="3"/>
  <c r="EA263" i="2"/>
  <c r="BJ23" i="2"/>
  <c r="AK21" i="2"/>
  <c r="I77" i="2" s="1"/>
  <c r="EA281" i="2"/>
  <c r="ET281" i="2" s="1"/>
  <c r="BK62" i="2" s="1"/>
  <c r="BE65" i="2"/>
  <c r="O41" i="2"/>
  <c r="C137" i="2" s="1"/>
  <c r="EA276" i="2"/>
  <c r="EB276" i="2"/>
  <c r="EC276" i="2"/>
  <c r="ED276" i="2"/>
  <c r="EE276" i="2"/>
  <c r="EF276" i="2"/>
  <c r="EG276" i="2"/>
  <c r="EH276" i="2"/>
  <c r="EI276" i="2"/>
  <c r="EJ276" i="2"/>
  <c r="EK276" i="2"/>
  <c r="EL276" i="2"/>
  <c r="EM276" i="2"/>
  <c r="EN276" i="2"/>
  <c r="EO276" i="2"/>
  <c r="EP276" i="2"/>
  <c r="BJ21" i="2"/>
  <c r="BF13" i="2" s="1"/>
  <c r="BN13" i="2"/>
  <c r="O77" i="2"/>
  <c r="BK73" i="2"/>
  <c r="C132" i="2"/>
  <c r="CA18" i="2"/>
  <c r="CA19" i="2" s="1"/>
  <c r="ER263" i="2"/>
  <c r="BN15" i="2" s="1"/>
  <c r="ER264" i="2"/>
  <c r="BF16" i="2" s="1"/>
  <c r="BL108" i="2"/>
  <c r="DY8" i="2"/>
  <c r="FN8" i="2"/>
  <c r="EA263" i="1"/>
  <c r="AK21" i="1"/>
  <c r="I77" i="1" s="1"/>
  <c r="BJ23" i="1"/>
  <c r="EA281" i="1"/>
  <c r="ET281" i="1" s="1"/>
  <c r="BK62" i="1" s="1"/>
  <c r="EA276" i="1"/>
  <c r="EB276" i="1"/>
  <c r="EC276" i="1"/>
  <c r="ED276" i="1"/>
  <c r="EE276" i="1"/>
  <c r="EF276" i="1"/>
  <c r="EG276" i="1"/>
  <c r="EH276" i="1"/>
  <c r="EI276" i="1"/>
  <c r="EJ276" i="1"/>
  <c r="EK276" i="1"/>
  <c r="EL276" i="1"/>
  <c r="EM276" i="1"/>
  <c r="EN276" i="1"/>
  <c r="EO276" i="1"/>
  <c r="EP276" i="1"/>
  <c r="BN13" i="1"/>
  <c r="BJ21" i="1"/>
  <c r="BF13" i="1" s="1"/>
  <c r="O77" i="1"/>
  <c r="BL108" i="1"/>
  <c r="C132" i="1"/>
  <c r="ER263" i="1"/>
  <c r="BN15" i="1" s="1"/>
  <c r="ER264" i="1"/>
  <c r="CA18" i="1"/>
  <c r="CA19" i="1" s="1"/>
  <c r="BK73" i="1" s="1"/>
  <c r="DY8" i="1"/>
  <c r="EC8" i="1" s="1"/>
  <c r="ED8" i="1" s="1"/>
  <c r="FN8" i="1"/>
  <c r="EC7" i="1"/>
  <c r="ED6" i="1" l="1"/>
  <c r="EF6" i="1" s="1"/>
  <c r="EG6" i="1" s="1"/>
  <c r="EE7" i="1"/>
  <c r="BF16" i="1"/>
  <c r="ED7" i="1"/>
  <c r="EF7" i="1" s="1"/>
  <c r="EG7" i="1" s="1"/>
  <c r="FO7" i="1" s="1"/>
  <c r="EE8" i="1"/>
  <c r="EF8" i="1" s="1"/>
  <c r="EG8" i="1" s="1"/>
  <c r="ED5" i="1"/>
  <c r="EF5" i="1" s="1"/>
  <c r="EG5" i="1" s="1"/>
  <c r="FO5" i="1" s="1"/>
  <c r="BJ24" i="3"/>
  <c r="FE284" i="3"/>
  <c r="FE285" i="3"/>
  <c r="AD61" i="3"/>
  <c r="FE290" i="3"/>
  <c r="BH113" i="3" s="1"/>
  <c r="BL113" i="3" s="1"/>
  <c r="FE286" i="3"/>
  <c r="FE288" i="3"/>
  <c r="BJ35" i="3"/>
  <c r="BJ36" i="3" s="1"/>
  <c r="BJ37" i="3"/>
  <c r="X61" i="3"/>
  <c r="FF282" i="3"/>
  <c r="FF283" i="3"/>
  <c r="FG282" i="3"/>
  <c r="FG283" i="3"/>
  <c r="FH282" i="3"/>
  <c r="FH283" i="3"/>
  <c r="FI282" i="3"/>
  <c r="FI283" i="3"/>
  <c r="FJ282" i="3"/>
  <c r="FJ283" i="3"/>
  <c r="FK282" i="3"/>
  <c r="FK283" i="3"/>
  <c r="FL282" i="3"/>
  <c r="FL283" i="3"/>
  <c r="FM282" i="3"/>
  <c r="FM283" i="3"/>
  <c r="FN282" i="3"/>
  <c r="FN283" i="3"/>
  <c r="FO282" i="3"/>
  <c r="FO283" i="3"/>
  <c r="FP282" i="3"/>
  <c r="FP283" i="3"/>
  <c r="FQ282" i="3"/>
  <c r="FQ283" i="3"/>
  <c r="FR282" i="3"/>
  <c r="FR283" i="3"/>
  <c r="FS282" i="3"/>
  <c r="FS283" i="3"/>
  <c r="FT282" i="3"/>
  <c r="FT283" i="3"/>
  <c r="CA36" i="3"/>
  <c r="CA37" i="3" s="1"/>
  <c r="BK68" i="3"/>
  <c r="FE258" i="3"/>
  <c r="FE259" i="3"/>
  <c r="BN13" i="3"/>
  <c r="BJ21" i="3"/>
  <c r="BL108" i="3"/>
  <c r="C132" i="3"/>
  <c r="FN265" i="3"/>
  <c r="FN266" i="3"/>
  <c r="CA18" i="3"/>
  <c r="CA19" i="3" s="1"/>
  <c r="BK75" i="3" s="1"/>
  <c r="FN9" i="3"/>
  <c r="FO8" i="3"/>
  <c r="FO6" i="3"/>
  <c r="FO7" i="3"/>
  <c r="BN16" i="2"/>
  <c r="BJ24" i="2"/>
  <c r="EB278" i="2"/>
  <c r="EB277" i="2"/>
  <c r="EC278" i="2"/>
  <c r="EC277" i="2"/>
  <c r="ED278" i="2"/>
  <c r="ED277" i="2"/>
  <c r="EE278" i="2"/>
  <c r="EE277" i="2"/>
  <c r="EF278" i="2"/>
  <c r="EF277" i="2"/>
  <c r="EG278" i="2"/>
  <c r="EG277" i="2"/>
  <c r="EH278" i="2"/>
  <c r="EH277" i="2"/>
  <c r="EI278" i="2"/>
  <c r="EI277" i="2"/>
  <c r="EJ278" i="2"/>
  <c r="EJ277" i="2"/>
  <c r="EK278" i="2"/>
  <c r="EK277" i="2"/>
  <c r="EL278" i="2"/>
  <c r="EL277" i="2"/>
  <c r="EM278" i="2"/>
  <c r="EM277" i="2"/>
  <c r="EN278" i="2"/>
  <c r="EN277" i="2"/>
  <c r="EO278" i="2"/>
  <c r="EO277" i="2"/>
  <c r="EP278" i="2"/>
  <c r="EP277" i="2"/>
  <c r="FN9" i="2"/>
  <c r="DY9" i="2"/>
  <c r="FO7" i="2"/>
  <c r="BF15" i="2"/>
  <c r="FO8" i="2"/>
  <c r="EA277" i="2"/>
  <c r="EA278" i="2"/>
  <c r="BN16" i="1"/>
  <c r="BJ24" i="1"/>
  <c r="EB278" i="1"/>
  <c r="EB277" i="1"/>
  <c r="EC278" i="1"/>
  <c r="EC277" i="1"/>
  <c r="ED278" i="1"/>
  <c r="ED277" i="1"/>
  <c r="EE278" i="1"/>
  <c r="EE277" i="1"/>
  <c r="EF278" i="1"/>
  <c r="EF277" i="1"/>
  <c r="EG278" i="1"/>
  <c r="EG277" i="1"/>
  <c r="EH278" i="1"/>
  <c r="EH277" i="1"/>
  <c r="EI278" i="1"/>
  <c r="EI277" i="1"/>
  <c r="EJ278" i="1"/>
  <c r="EJ277" i="1"/>
  <c r="EK278" i="1"/>
  <c r="EK277" i="1"/>
  <c r="EL278" i="1"/>
  <c r="EL277" i="1"/>
  <c r="EM278" i="1"/>
  <c r="EM277" i="1"/>
  <c r="EN278" i="1"/>
  <c r="EN277" i="1"/>
  <c r="EO278" i="1"/>
  <c r="EO277" i="1"/>
  <c r="EP278" i="1"/>
  <c r="EP277" i="1"/>
  <c r="FN9" i="1"/>
  <c r="DY9" i="1"/>
  <c r="BF15" i="1"/>
  <c r="EA277" i="1"/>
  <c r="EA278" i="1"/>
  <c r="FO5" i="3" l="1"/>
  <c r="FO8" i="1"/>
  <c r="BH112" i="3"/>
  <c r="BL112" i="3" s="1"/>
  <c r="FE287" i="3"/>
  <c r="S61" i="3"/>
  <c r="FE289" i="3"/>
  <c r="BK69" i="3"/>
  <c r="BH111" i="3"/>
  <c r="H114" i="3"/>
  <c r="CR60" i="3"/>
  <c r="FF290" i="3"/>
  <c r="FF286" i="3"/>
  <c r="FF288" i="3"/>
  <c r="X62" i="3"/>
  <c r="FF284" i="3"/>
  <c r="FF285" i="3"/>
  <c r="AD62" i="3"/>
  <c r="FG290" i="3"/>
  <c r="FG286" i="3"/>
  <c r="FG288" i="3"/>
  <c r="FG289" i="3" s="1"/>
  <c r="X63" i="3"/>
  <c r="FG284" i="3"/>
  <c r="FG285" i="3"/>
  <c r="AD63" i="3"/>
  <c r="FH290" i="3"/>
  <c r="FH286" i="3"/>
  <c r="FH288" i="3"/>
  <c r="FH289" i="3" s="1"/>
  <c r="X64" i="3"/>
  <c r="FH284" i="3"/>
  <c r="FH285" i="3"/>
  <c r="AD64" i="3"/>
  <c r="FI290" i="3"/>
  <c r="FI286" i="3"/>
  <c r="FI288" i="3"/>
  <c r="FI289" i="3" s="1"/>
  <c r="X65" i="3"/>
  <c r="FI284" i="3"/>
  <c r="FI285" i="3"/>
  <c r="AD65" i="3"/>
  <c r="FJ290" i="3"/>
  <c r="FJ286" i="3"/>
  <c r="FJ288" i="3"/>
  <c r="FJ289" i="3" s="1"/>
  <c r="X66" i="3"/>
  <c r="FJ284" i="3"/>
  <c r="FJ285" i="3"/>
  <c r="AD66" i="3"/>
  <c r="FK290" i="3"/>
  <c r="FK286" i="3"/>
  <c r="FK288" i="3"/>
  <c r="FK289" i="3" s="1"/>
  <c r="X67" i="3"/>
  <c r="FK284" i="3"/>
  <c r="FK285" i="3"/>
  <c r="AD67" i="3"/>
  <c r="FL290" i="3"/>
  <c r="FL286" i="3"/>
  <c r="FL288" i="3"/>
  <c r="FL289" i="3" s="1"/>
  <c r="X68" i="3"/>
  <c r="FL284" i="3"/>
  <c r="FL285" i="3"/>
  <c r="AD68" i="3"/>
  <c r="FM290" i="3"/>
  <c r="FM286" i="3"/>
  <c r="FM288" i="3"/>
  <c r="FM289" i="3" s="1"/>
  <c r="X69" i="3"/>
  <c r="FM284" i="3"/>
  <c r="FM285" i="3"/>
  <c r="AD69" i="3"/>
  <c r="FN290" i="3"/>
  <c r="FN286" i="3"/>
  <c r="FN288" i="3"/>
  <c r="FN289" i="3" s="1"/>
  <c r="X70" i="3"/>
  <c r="FN284" i="3"/>
  <c r="FN285" i="3"/>
  <c r="AD70" i="3"/>
  <c r="FO290" i="3"/>
  <c r="FO286" i="3"/>
  <c r="FO288" i="3"/>
  <c r="FO289" i="3" s="1"/>
  <c r="X71" i="3"/>
  <c r="FO284" i="3"/>
  <c r="FO285" i="3"/>
  <c r="AD71" i="3"/>
  <c r="FP290" i="3"/>
  <c r="FP286" i="3"/>
  <c r="FP288" i="3"/>
  <c r="FP289" i="3" s="1"/>
  <c r="X72" i="3"/>
  <c r="FP284" i="3"/>
  <c r="FP285" i="3"/>
  <c r="AD72" i="3"/>
  <c r="FQ290" i="3"/>
  <c r="FQ286" i="3"/>
  <c r="FQ288" i="3"/>
  <c r="FQ289" i="3" s="1"/>
  <c r="X73" i="3"/>
  <c r="FQ284" i="3"/>
  <c r="FQ285" i="3"/>
  <c r="AD73" i="3"/>
  <c r="FR290" i="3"/>
  <c r="FR286" i="3"/>
  <c r="FR288" i="3"/>
  <c r="FR289" i="3" s="1"/>
  <c r="X74" i="3"/>
  <c r="FR284" i="3"/>
  <c r="FR285" i="3"/>
  <c r="AD74" i="3"/>
  <c r="FS290" i="3"/>
  <c r="FS286" i="3"/>
  <c r="FS288" i="3"/>
  <c r="FS289" i="3" s="1"/>
  <c r="X75" i="3"/>
  <c r="FS284" i="3"/>
  <c r="FS285" i="3"/>
  <c r="AD75" i="3"/>
  <c r="FT290" i="3"/>
  <c r="FT286" i="3"/>
  <c r="FT288" i="3"/>
  <c r="FT289" i="3" s="1"/>
  <c r="X76" i="3"/>
  <c r="FT284" i="3"/>
  <c r="FT285" i="3"/>
  <c r="AD76" i="3"/>
  <c r="N77" i="3"/>
  <c r="BF13" i="3"/>
  <c r="BF15" i="3"/>
  <c r="BN15" i="3"/>
  <c r="FN10" i="3"/>
  <c r="BF16" i="3"/>
  <c r="BN16" i="3"/>
  <c r="AB62" i="2"/>
  <c r="EB280" i="2"/>
  <c r="EB279" i="2"/>
  <c r="EB282" i="2"/>
  <c r="EB285" i="2"/>
  <c r="U62" i="2"/>
  <c r="AB63" i="2"/>
  <c r="EC280" i="2"/>
  <c r="EC279" i="2"/>
  <c r="EC282" i="2"/>
  <c r="EC285" i="2"/>
  <c r="U63" i="2"/>
  <c r="AB64" i="2"/>
  <c r="ED280" i="2"/>
  <c r="ED279" i="2"/>
  <c r="ED282" i="2"/>
  <c r="ED285" i="2"/>
  <c r="U64" i="2"/>
  <c r="AB65" i="2"/>
  <c r="EE280" i="2"/>
  <c r="EE279" i="2"/>
  <c r="EE282" i="2"/>
  <c r="EE285" i="2"/>
  <c r="U65" i="2"/>
  <c r="AB66" i="2"/>
  <c r="EF280" i="2"/>
  <c r="EF279" i="2"/>
  <c r="EF282" i="2"/>
  <c r="EF285" i="2"/>
  <c r="U66" i="2"/>
  <c r="AB67" i="2"/>
  <c r="EG280" i="2"/>
  <c r="EG279" i="2"/>
  <c r="EG282" i="2"/>
  <c r="EG285" i="2"/>
  <c r="U67" i="2"/>
  <c r="AB68" i="2"/>
  <c r="EH280" i="2"/>
  <c r="EH279" i="2"/>
  <c r="EH282" i="2"/>
  <c r="EH285" i="2"/>
  <c r="U68" i="2"/>
  <c r="AB69" i="2"/>
  <c r="EI280" i="2"/>
  <c r="EI279" i="2"/>
  <c r="EI282" i="2"/>
  <c r="EI285" i="2"/>
  <c r="U69" i="2"/>
  <c r="AB70" i="2"/>
  <c r="EJ280" i="2"/>
  <c r="EJ279" i="2"/>
  <c r="EJ282" i="2"/>
  <c r="EJ285" i="2"/>
  <c r="U70" i="2"/>
  <c r="AB71" i="2"/>
  <c r="EK280" i="2"/>
  <c r="EK279" i="2"/>
  <c r="EK282" i="2"/>
  <c r="EK285" i="2"/>
  <c r="U71" i="2"/>
  <c r="AB72" i="2"/>
  <c r="EL280" i="2"/>
  <c r="EL279" i="2"/>
  <c r="EL282" i="2"/>
  <c r="EL285" i="2"/>
  <c r="U72" i="2"/>
  <c r="AB73" i="2"/>
  <c r="EM280" i="2"/>
  <c r="EM279" i="2"/>
  <c r="EM282" i="2"/>
  <c r="EM285" i="2"/>
  <c r="U73" i="2"/>
  <c r="AB74" i="2"/>
  <c r="EN280" i="2"/>
  <c r="EN279" i="2"/>
  <c r="EN282" i="2"/>
  <c r="EN285" i="2"/>
  <c r="U74" i="2"/>
  <c r="AB75" i="2"/>
  <c r="EO280" i="2"/>
  <c r="EO279" i="2"/>
  <c r="EO282" i="2"/>
  <c r="EO285" i="2"/>
  <c r="U75" i="2"/>
  <c r="AB76" i="2"/>
  <c r="EP280" i="2"/>
  <c r="EP279" i="2"/>
  <c r="EP282" i="2"/>
  <c r="EP285" i="2"/>
  <c r="U76" i="2"/>
  <c r="DY10" i="2"/>
  <c r="FN10" i="2"/>
  <c r="U61" i="2"/>
  <c r="EA285" i="2"/>
  <c r="EA282" i="2"/>
  <c r="BH111" i="2" s="1"/>
  <c r="BL111" i="2" s="1"/>
  <c r="AB61" i="2"/>
  <c r="EA280" i="2"/>
  <c r="EA279" i="2"/>
  <c r="FO6" i="2"/>
  <c r="FO5" i="2"/>
  <c r="II43" i="1"/>
  <c r="EB280" i="1"/>
  <c r="EB279" i="1"/>
  <c r="EB282" i="1"/>
  <c r="EB285" i="1"/>
  <c r="U62" i="1"/>
  <c r="II44" i="1"/>
  <c r="EC280" i="1"/>
  <c r="EC279" i="1"/>
  <c r="EC282" i="1"/>
  <c r="EC285" i="1"/>
  <c r="U63" i="1"/>
  <c r="II45" i="1"/>
  <c r="ED280" i="1"/>
  <c r="ED279" i="1"/>
  <c r="ED282" i="1"/>
  <c r="ED285" i="1"/>
  <c r="U64" i="1"/>
  <c r="II46" i="1"/>
  <c r="EE280" i="1"/>
  <c r="EE279" i="1"/>
  <c r="EE282" i="1"/>
  <c r="EE285" i="1"/>
  <c r="U65" i="1"/>
  <c r="II47" i="1"/>
  <c r="EF280" i="1"/>
  <c r="EF279" i="1"/>
  <c r="EF282" i="1"/>
  <c r="EF285" i="1"/>
  <c r="U66" i="1"/>
  <c r="II48" i="1"/>
  <c r="EG280" i="1"/>
  <c r="EG279" i="1"/>
  <c r="EG282" i="1"/>
  <c r="EG285" i="1"/>
  <c r="U67" i="1"/>
  <c r="II49" i="1"/>
  <c r="EH280" i="1"/>
  <c r="EH279" i="1"/>
  <c r="EH282" i="1"/>
  <c r="EH285" i="1"/>
  <c r="U68" i="1"/>
  <c r="II50" i="1"/>
  <c r="EI280" i="1"/>
  <c r="EI279" i="1"/>
  <c r="EI282" i="1"/>
  <c r="EI285" i="1"/>
  <c r="U69" i="1"/>
  <c r="II51" i="1"/>
  <c r="EJ280" i="1"/>
  <c r="EJ279" i="1"/>
  <c r="EJ282" i="1"/>
  <c r="EJ285" i="1"/>
  <c r="U70" i="1"/>
  <c r="II52" i="1"/>
  <c r="EK280" i="1"/>
  <c r="EK279" i="1"/>
  <c r="EK282" i="1"/>
  <c r="EK285" i="1"/>
  <c r="U71" i="1"/>
  <c r="II53" i="1"/>
  <c r="EL280" i="1"/>
  <c r="EL279" i="1"/>
  <c r="EL282" i="1"/>
  <c r="EL285" i="1"/>
  <c r="U72" i="1"/>
  <c r="II54" i="1"/>
  <c r="EM280" i="1"/>
  <c r="EM279" i="1"/>
  <c r="EM282" i="1"/>
  <c r="EM285" i="1"/>
  <c r="U73" i="1"/>
  <c r="II55" i="1"/>
  <c r="EN280" i="1"/>
  <c r="EN279" i="1"/>
  <c r="EN282" i="1"/>
  <c r="EN285" i="1"/>
  <c r="U74" i="1"/>
  <c r="II56" i="1"/>
  <c r="EO280" i="1"/>
  <c r="EO279" i="1"/>
  <c r="EO282" i="1"/>
  <c r="EO285" i="1"/>
  <c r="U75" i="1"/>
  <c r="II57" i="1"/>
  <c r="EP280" i="1"/>
  <c r="EP279" i="1"/>
  <c r="EP282" i="1"/>
  <c r="EP285" i="1"/>
  <c r="U76" i="1"/>
  <c r="DY10" i="1"/>
  <c r="FN10" i="1"/>
  <c r="U61" i="1"/>
  <c r="EA285" i="1"/>
  <c r="EA282" i="1"/>
  <c r="BH110" i="1" s="1"/>
  <c r="II42" i="1"/>
  <c r="EA280" i="1"/>
  <c r="EA279" i="1"/>
  <c r="EC9" i="1"/>
  <c r="FO6" i="1"/>
  <c r="FO9" i="2" l="1"/>
  <c r="ED9" i="1"/>
  <c r="EE9" i="1"/>
  <c r="BJ39" i="3"/>
  <c r="BF31" i="3" s="1"/>
  <c r="BN31" i="3" s="1"/>
  <c r="FO9" i="3"/>
  <c r="AJ46" i="3"/>
  <c r="BE66" i="3" s="1"/>
  <c r="BH114" i="3"/>
  <c r="BL114" i="3" s="1"/>
  <c r="BL111" i="3"/>
  <c r="CV60" i="3"/>
  <c r="FZ100" i="3"/>
  <c r="GA100" i="3" s="1"/>
  <c r="FF287" i="3"/>
  <c r="S62" i="3"/>
  <c r="H115" i="3"/>
  <c r="CR61" i="3"/>
  <c r="FG287" i="3"/>
  <c r="S63" i="3"/>
  <c r="H116" i="3"/>
  <c r="CR62" i="3"/>
  <c r="FH287" i="3"/>
  <c r="S64" i="3"/>
  <c r="H117" i="3"/>
  <c r="CR63" i="3"/>
  <c r="FI287" i="3"/>
  <c r="S65" i="3"/>
  <c r="H118" i="3"/>
  <c r="CR64" i="3"/>
  <c r="FJ287" i="3"/>
  <c r="S66" i="3"/>
  <c r="H119" i="3"/>
  <c r="CR65" i="3"/>
  <c r="FK287" i="3"/>
  <c r="S67" i="3"/>
  <c r="H120" i="3"/>
  <c r="CR66" i="3"/>
  <c r="FL287" i="3"/>
  <c r="S68" i="3"/>
  <c r="H121" i="3"/>
  <c r="CR67" i="3"/>
  <c r="FM287" i="3"/>
  <c r="S69" i="3"/>
  <c r="H122" i="3"/>
  <c r="CR68" i="3"/>
  <c r="FN287" i="3"/>
  <c r="S70" i="3"/>
  <c r="H123" i="3"/>
  <c r="CR69" i="3"/>
  <c r="FO287" i="3"/>
  <c r="S71" i="3"/>
  <c r="H124" i="3"/>
  <c r="CR70" i="3"/>
  <c r="FP287" i="3"/>
  <c r="S72" i="3"/>
  <c r="H125" i="3"/>
  <c r="CR71" i="3"/>
  <c r="FQ287" i="3"/>
  <c r="S73" i="3"/>
  <c r="H126" i="3"/>
  <c r="CR72" i="3"/>
  <c r="FR287" i="3"/>
  <c r="S74" i="3"/>
  <c r="H127" i="3"/>
  <c r="CR73" i="3"/>
  <c r="FS287" i="3"/>
  <c r="S75" i="3"/>
  <c r="H128" i="3"/>
  <c r="CR74" i="3"/>
  <c r="FT287" i="3"/>
  <c r="S76" i="3"/>
  <c r="H129" i="3"/>
  <c r="CR75" i="3"/>
  <c r="FN11" i="3"/>
  <c r="BH118" i="3"/>
  <c r="BL118" i="3" s="1"/>
  <c r="BH117" i="3"/>
  <c r="AD77" i="3"/>
  <c r="FF289" i="3"/>
  <c r="BJ40" i="3"/>
  <c r="BF32" i="3" s="1"/>
  <c r="X77" i="3"/>
  <c r="BN32" i="3"/>
  <c r="ER279" i="2"/>
  <c r="ES279" i="2" s="1"/>
  <c r="BH115" i="2"/>
  <c r="H115" i="2"/>
  <c r="CR61" i="2"/>
  <c r="H116" i="2"/>
  <c r="CR62" i="2"/>
  <c r="H117" i="2"/>
  <c r="CR63" i="2"/>
  <c r="H118" i="2"/>
  <c r="CR64" i="2"/>
  <c r="CR65" i="2"/>
  <c r="H119" i="2"/>
  <c r="H120" i="2"/>
  <c r="CR66" i="2"/>
  <c r="H121" i="2"/>
  <c r="CR67" i="2"/>
  <c r="CR68" i="2"/>
  <c r="H122" i="2"/>
  <c r="H123" i="2"/>
  <c r="CR69" i="2"/>
  <c r="CR70" i="2"/>
  <c r="H124" i="2"/>
  <c r="H125" i="2"/>
  <c r="CR71" i="2"/>
  <c r="CR72" i="2"/>
  <c r="H126" i="2"/>
  <c r="CR73" i="2"/>
  <c r="H127" i="2"/>
  <c r="CR74" i="2"/>
  <c r="H128" i="2"/>
  <c r="H129" i="2"/>
  <c r="CR75" i="2"/>
  <c r="DY11" i="2"/>
  <c r="FN11" i="2"/>
  <c r="BK65" i="2"/>
  <c r="CR60" i="2"/>
  <c r="H114" i="2"/>
  <c r="ER285" i="2"/>
  <c r="U77" i="2"/>
  <c r="ET280" i="2"/>
  <c r="BE67" i="2" s="1"/>
  <c r="AB77" i="2"/>
  <c r="BH110" i="2"/>
  <c r="AJ41" i="2"/>
  <c r="BH116" i="2"/>
  <c r="BL116" i="2" s="1"/>
  <c r="ER279" i="1"/>
  <c r="ES279" i="1" s="1"/>
  <c r="GM17" i="1"/>
  <c r="GQ17" i="1" s="1"/>
  <c r="H115" i="1"/>
  <c r="CR61" i="1"/>
  <c r="H116" i="1"/>
  <c r="CR62" i="1"/>
  <c r="CR63" i="1"/>
  <c r="H117" i="1"/>
  <c r="H118" i="1"/>
  <c r="CR64" i="1"/>
  <c r="H119" i="1"/>
  <c r="CR65" i="1"/>
  <c r="CR66" i="1"/>
  <c r="H120" i="1"/>
  <c r="H121" i="1"/>
  <c r="CR67" i="1"/>
  <c r="H122" i="1"/>
  <c r="CR68" i="1"/>
  <c r="H123" i="1"/>
  <c r="CR69" i="1"/>
  <c r="CR70" i="1"/>
  <c r="H124" i="1"/>
  <c r="H125" i="1"/>
  <c r="CR71" i="1"/>
  <c r="H126" i="1"/>
  <c r="CR72" i="1"/>
  <c r="CR73" i="1"/>
  <c r="H127" i="1"/>
  <c r="CR74" i="1"/>
  <c r="H128" i="1"/>
  <c r="H129" i="1"/>
  <c r="CR75" i="1"/>
  <c r="DY11" i="1"/>
  <c r="FN11" i="1"/>
  <c r="H114" i="1"/>
  <c r="BK65" i="1"/>
  <c r="CR60" i="1"/>
  <c r="ER285" i="1"/>
  <c r="U77" i="1"/>
  <c r="BH111" i="1"/>
  <c r="BL111" i="1" s="1"/>
  <c r="BL110" i="1"/>
  <c r="ET280" i="1"/>
  <c r="II58" i="1"/>
  <c r="HZ60" i="1"/>
  <c r="ID60" i="1" s="1"/>
  <c r="IJ38" i="1"/>
  <c r="BH115" i="1"/>
  <c r="EC10" i="1"/>
  <c r="EF9" i="1" l="1"/>
  <c r="EG9" i="1" s="1"/>
  <c r="FO9" i="1" s="1"/>
  <c r="ED10" i="1"/>
  <c r="EE10" i="1"/>
  <c r="EC11" i="1"/>
  <c r="FO10" i="3"/>
  <c r="BN33" i="3"/>
  <c r="BJ41" i="3"/>
  <c r="BF33" i="3" s="1"/>
  <c r="CV61" i="3"/>
  <c r="FZ101" i="3"/>
  <c r="GA101" i="3" s="1"/>
  <c r="CV62" i="3"/>
  <c r="FZ102" i="3"/>
  <c r="GA102" i="3" s="1"/>
  <c r="CV63" i="3"/>
  <c r="FZ103" i="3"/>
  <c r="GA103" i="3" s="1"/>
  <c r="CV64" i="3"/>
  <c r="FZ104" i="3"/>
  <c r="GA104" i="3" s="1"/>
  <c r="CV65" i="3"/>
  <c r="FZ105" i="3"/>
  <c r="GA105" i="3" s="1"/>
  <c r="CV66" i="3"/>
  <c r="FZ106" i="3"/>
  <c r="GA106" i="3" s="1"/>
  <c r="CV67" i="3"/>
  <c r="FZ107" i="3"/>
  <c r="GA107" i="3" s="1"/>
  <c r="CV68" i="3"/>
  <c r="FZ108" i="3"/>
  <c r="GA108" i="3" s="1"/>
  <c r="CV69" i="3"/>
  <c r="FZ109" i="3"/>
  <c r="GA109" i="3" s="1"/>
  <c r="CV70" i="3"/>
  <c r="FZ110" i="3"/>
  <c r="GA110" i="3" s="1"/>
  <c r="CV71" i="3"/>
  <c r="FZ111" i="3"/>
  <c r="GA111" i="3" s="1"/>
  <c r="CV72" i="3"/>
  <c r="FZ112" i="3"/>
  <c r="GA112" i="3" s="1"/>
  <c r="CV73" i="3"/>
  <c r="FZ113" i="3"/>
  <c r="GA113" i="3" s="1"/>
  <c r="CV74" i="3"/>
  <c r="FZ114" i="3"/>
  <c r="GA114" i="3" s="1"/>
  <c r="CV75" i="3"/>
  <c r="FZ115" i="3"/>
  <c r="GA115" i="3" s="1"/>
  <c r="FN12" i="3"/>
  <c r="BH119" i="3"/>
  <c r="BL117" i="3"/>
  <c r="BN30" i="3"/>
  <c r="BJ38" i="3"/>
  <c r="BE67" i="3"/>
  <c r="C142" i="3"/>
  <c r="BL115" i="2"/>
  <c r="BH117" i="2"/>
  <c r="EJ6" i="2"/>
  <c r="EK6" i="2" s="1"/>
  <c r="CV61" i="2"/>
  <c r="EJ7" i="2"/>
  <c r="EK7" i="2" s="1"/>
  <c r="CV62" i="2"/>
  <c r="EJ8" i="2"/>
  <c r="EK8" i="2" s="1"/>
  <c r="CV63" i="2"/>
  <c r="EJ9" i="2"/>
  <c r="EK9" i="2" s="1"/>
  <c r="CV64" i="2"/>
  <c r="CV65" i="2"/>
  <c r="EJ10" i="2"/>
  <c r="EK10" i="2" s="1"/>
  <c r="EJ11" i="2"/>
  <c r="EK11" i="2" s="1"/>
  <c r="CV66" i="2"/>
  <c r="EJ12" i="2"/>
  <c r="EK12" i="2" s="1"/>
  <c r="CV67" i="2"/>
  <c r="EJ13" i="2"/>
  <c r="EK13" i="2" s="1"/>
  <c r="CV68" i="2"/>
  <c r="CV69" i="2"/>
  <c r="EJ14" i="2"/>
  <c r="EK14" i="2" s="1"/>
  <c r="EJ15" i="2"/>
  <c r="EK15" i="2" s="1"/>
  <c r="CV70" i="2"/>
  <c r="EJ16" i="2"/>
  <c r="EK16" i="2" s="1"/>
  <c r="CV71" i="2"/>
  <c r="EJ17" i="2"/>
  <c r="EK17" i="2" s="1"/>
  <c r="CV72" i="2"/>
  <c r="EJ18" i="2"/>
  <c r="EK18" i="2" s="1"/>
  <c r="CV73" i="2"/>
  <c r="EJ19" i="2"/>
  <c r="EK19" i="2" s="1"/>
  <c r="CV74" i="2"/>
  <c r="CV75" i="2"/>
  <c r="EJ20" i="2"/>
  <c r="EK20" i="2" s="1"/>
  <c r="DY12" i="2"/>
  <c r="FN12" i="2"/>
  <c r="CV60" i="2"/>
  <c r="EJ5" i="2"/>
  <c r="EK5" i="2" s="1"/>
  <c r="EK21" i="2" s="1"/>
  <c r="H130" i="2" s="1"/>
  <c r="BH112" i="2"/>
  <c r="BL112" i="2" s="1"/>
  <c r="BL110" i="2"/>
  <c r="BE66" i="2"/>
  <c r="O40" i="2"/>
  <c r="EJ6" i="1"/>
  <c r="EK6" i="1" s="1"/>
  <c r="CV61" i="1"/>
  <c r="EJ7" i="1"/>
  <c r="EK7" i="1" s="1"/>
  <c r="CV62" i="1"/>
  <c r="EJ8" i="1"/>
  <c r="EK8" i="1" s="1"/>
  <c r="CV63" i="1"/>
  <c r="EJ9" i="1"/>
  <c r="EK9" i="1" s="1"/>
  <c r="CV64" i="1"/>
  <c r="EJ10" i="1"/>
  <c r="EK10" i="1" s="1"/>
  <c r="CV65" i="1"/>
  <c r="CV66" i="1"/>
  <c r="EJ11" i="1"/>
  <c r="EK11" i="1" s="1"/>
  <c r="EJ12" i="1"/>
  <c r="EK12" i="1" s="1"/>
  <c r="CV67" i="1"/>
  <c r="CV68" i="1"/>
  <c r="EJ13" i="1"/>
  <c r="EK13" i="1" s="1"/>
  <c r="CV69" i="1"/>
  <c r="EJ14" i="1"/>
  <c r="EK14" i="1" s="1"/>
  <c r="CV70" i="1"/>
  <c r="EJ15" i="1"/>
  <c r="EK15" i="1" s="1"/>
  <c r="EJ16" i="1"/>
  <c r="EK16" i="1" s="1"/>
  <c r="CV71" i="1"/>
  <c r="CV72" i="1"/>
  <c r="EJ17" i="1"/>
  <c r="EK17" i="1" s="1"/>
  <c r="CV73" i="1"/>
  <c r="EJ18" i="1"/>
  <c r="EK18" i="1" s="1"/>
  <c r="CV74" i="1"/>
  <c r="EJ19" i="1"/>
  <c r="EK19" i="1" s="1"/>
  <c r="CV75" i="1"/>
  <c r="EJ20" i="1"/>
  <c r="EK20" i="1" s="1"/>
  <c r="EC12" i="1"/>
  <c r="DY12" i="1"/>
  <c r="FN12" i="1"/>
  <c r="CV60" i="1"/>
  <c r="EJ5" i="1"/>
  <c r="EK5" i="1" s="1"/>
  <c r="HS36" i="1"/>
  <c r="HO38" i="1" s="1"/>
  <c r="HO37" i="1"/>
  <c r="BM115" i="1"/>
  <c r="BH116" i="1"/>
  <c r="FO10" i="2" l="1"/>
  <c r="FO11" i="2"/>
  <c r="ED12" i="1"/>
  <c r="EE12" i="1"/>
  <c r="ED11" i="1"/>
  <c r="EF11" i="1" s="1"/>
  <c r="EG11" i="1" s="1"/>
  <c r="FO11" i="1" s="1"/>
  <c r="EE11" i="1"/>
  <c r="EF10" i="1"/>
  <c r="EG10" i="1" s="1"/>
  <c r="FO10" i="1" s="1"/>
  <c r="EK21" i="1"/>
  <c r="H130" i="1" s="1"/>
  <c r="FO11" i="3"/>
  <c r="FN13" i="3"/>
  <c r="BH121" i="3"/>
  <c r="BL121" i="3" s="1"/>
  <c r="BL119" i="3"/>
  <c r="BF30" i="3"/>
  <c r="S77" i="3"/>
  <c r="GA116" i="3"/>
  <c r="GA117" i="3" s="1"/>
  <c r="H130" i="3" s="1"/>
  <c r="BL117" i="2"/>
  <c r="BH119" i="2"/>
  <c r="BL119" i="2" s="1"/>
  <c r="FN13" i="2"/>
  <c r="DY13" i="2"/>
  <c r="DY13" i="1"/>
  <c r="FN13" i="1"/>
  <c r="BM116" i="1"/>
  <c r="BH118" i="1"/>
  <c r="BM118" i="1" s="1"/>
  <c r="FO12" i="3" l="1"/>
  <c r="FO12" i="2"/>
  <c r="EF12" i="1"/>
  <c r="EG12" i="1" s="1"/>
  <c r="FO12" i="1" s="1"/>
  <c r="FN14" i="3"/>
  <c r="DY14" i="2"/>
  <c r="FN14" i="2"/>
  <c r="DY14" i="1"/>
  <c r="FN14" i="1"/>
  <c r="EC13" i="1"/>
  <c r="FO13" i="2" l="1"/>
  <c r="ED13" i="1"/>
  <c r="EE13" i="1"/>
  <c r="FO13" i="3"/>
  <c r="FN15" i="3"/>
  <c r="DY15" i="2"/>
  <c r="FN15" i="2"/>
  <c r="DY15" i="1"/>
  <c r="FN15" i="1"/>
  <c r="EC14" i="1"/>
  <c r="FO14" i="2" l="1"/>
  <c r="EF13" i="1"/>
  <c r="EG13" i="1" s="1"/>
  <c r="FO13" i="1" s="1"/>
  <c r="ED14" i="1"/>
  <c r="EE14" i="1"/>
  <c r="FO14" i="3"/>
  <c r="FN16" i="3"/>
  <c r="DY16" i="2"/>
  <c r="FN16" i="2"/>
  <c r="DY16" i="1"/>
  <c r="FN16" i="1"/>
  <c r="EC15" i="1"/>
  <c r="FO15" i="3" l="1"/>
  <c r="FO15" i="2"/>
  <c r="ED15" i="1"/>
  <c r="EE15" i="1"/>
  <c r="EF14" i="1"/>
  <c r="EG14" i="1" s="1"/>
  <c r="FO14" i="1" s="1"/>
  <c r="FN17" i="3"/>
  <c r="FN17" i="2"/>
  <c r="DY17" i="2"/>
  <c r="DY17" i="1"/>
  <c r="FN17" i="1"/>
  <c r="EC16" i="1"/>
  <c r="FO16" i="3" l="1"/>
  <c r="FO16" i="2"/>
  <c r="ED16" i="1"/>
  <c r="EE16" i="1"/>
  <c r="EF15" i="1"/>
  <c r="EG15" i="1" s="1"/>
  <c r="FO15" i="1" s="1"/>
  <c r="FO17" i="3"/>
  <c r="FN18" i="3"/>
  <c r="DY18" i="2"/>
  <c r="FN18" i="2"/>
  <c r="DY18" i="1"/>
  <c r="FN18" i="1"/>
  <c r="EC17" i="1"/>
  <c r="ED17" i="1" l="1"/>
  <c r="EE17" i="1"/>
  <c r="EF16" i="1"/>
  <c r="EG16" i="1" s="1"/>
  <c r="FO16" i="1" s="1"/>
  <c r="FN19" i="3"/>
  <c r="DY19" i="2"/>
  <c r="FN19" i="2"/>
  <c r="DY19" i="1"/>
  <c r="FN19" i="1"/>
  <c r="EC18" i="1"/>
  <c r="FO18" i="2" l="1"/>
  <c r="FO17" i="2"/>
  <c r="ED18" i="1"/>
  <c r="EE18" i="1"/>
  <c r="EF17" i="1"/>
  <c r="EG17" i="1" s="1"/>
  <c r="FO17" i="1" s="1"/>
  <c r="FO18" i="3"/>
  <c r="FN20" i="3"/>
  <c r="FN20" i="2"/>
  <c r="DY20" i="2"/>
  <c r="DY20" i="1"/>
  <c r="FN20" i="1"/>
  <c r="EC19" i="1"/>
  <c r="ED19" i="1" l="1"/>
  <c r="EE19" i="1"/>
  <c r="EF18" i="1"/>
  <c r="EG18" i="1" s="1"/>
  <c r="FO18" i="1" s="1"/>
  <c r="FO19" i="3"/>
  <c r="FN21" i="3"/>
  <c r="FN21" i="2"/>
  <c r="DY21" i="2"/>
  <c r="DY21" i="1"/>
  <c r="FN21" i="1"/>
  <c r="EC20" i="1"/>
  <c r="FO20" i="2" l="1"/>
  <c r="ED20" i="1"/>
  <c r="EE20" i="1"/>
  <c r="EF19" i="1"/>
  <c r="EG19" i="1" s="1"/>
  <c r="FO19" i="1" s="1"/>
  <c r="FN22" i="3"/>
  <c r="DY22" i="2"/>
  <c r="FN22" i="2"/>
  <c r="FO19" i="2"/>
  <c r="DY22" i="1"/>
  <c r="FN22" i="1"/>
  <c r="EC21" i="1"/>
  <c r="FO21" i="2" l="1"/>
  <c r="ED21" i="1"/>
  <c r="EE21" i="1"/>
  <c r="EF20" i="1"/>
  <c r="EG20" i="1" s="1"/>
  <c r="FO20" i="1" s="1"/>
  <c r="FN23" i="3"/>
  <c r="FO20" i="3"/>
  <c r="FO21" i="3"/>
  <c r="FN23" i="2"/>
  <c r="DY23" i="2"/>
  <c r="DY23" i="1"/>
  <c r="FN23" i="1"/>
  <c r="EC22" i="1"/>
  <c r="FO22" i="2" l="1"/>
  <c r="ED22" i="1"/>
  <c r="EE22" i="1"/>
  <c r="EF21" i="1"/>
  <c r="EG21" i="1" s="1"/>
  <c r="FO21" i="1" s="1"/>
  <c r="EC23" i="1"/>
  <c r="FO22" i="3"/>
  <c r="FN24" i="3"/>
  <c r="FN24" i="2"/>
  <c r="DY24" i="2"/>
  <c r="DY24" i="1"/>
  <c r="FN24" i="1"/>
  <c r="FO23" i="3" l="1"/>
  <c r="ED23" i="1"/>
  <c r="EE23" i="1"/>
  <c r="EF22" i="1"/>
  <c r="EG22" i="1" s="1"/>
  <c r="FO22" i="1" s="1"/>
  <c r="FO24" i="3"/>
  <c r="FN25" i="3"/>
  <c r="DY25" i="2"/>
  <c r="FN25" i="2"/>
  <c r="DY25" i="1"/>
  <c r="FN25" i="1"/>
  <c r="EC24" i="1"/>
  <c r="ED24" i="1" l="1"/>
  <c r="EE24" i="1"/>
  <c r="EF23" i="1"/>
  <c r="EG23" i="1" s="1"/>
  <c r="FO23" i="1" s="1"/>
  <c r="FO25" i="3"/>
  <c r="FN26" i="3"/>
  <c r="DY26" i="2"/>
  <c r="FN26" i="2"/>
  <c r="FO23" i="2"/>
  <c r="DY26" i="1"/>
  <c r="FN26" i="1"/>
  <c r="EC25" i="1"/>
  <c r="FO25" i="2" l="1"/>
  <c r="FO24" i="2"/>
  <c r="EF24" i="1"/>
  <c r="EG24" i="1" s="1"/>
  <c r="FO24" i="1" s="1"/>
  <c r="ED25" i="1"/>
  <c r="EF25" i="1" s="1"/>
  <c r="EG25" i="1" s="1"/>
  <c r="EE25" i="1"/>
  <c r="FN27" i="3"/>
  <c r="DY27" i="2"/>
  <c r="FN27" i="2"/>
  <c r="DY27" i="1"/>
  <c r="FN27" i="1"/>
  <c r="EC26" i="1"/>
  <c r="ED26" i="1" l="1"/>
  <c r="EE26" i="1"/>
  <c r="FN28" i="3"/>
  <c r="FO26" i="3"/>
  <c r="DY28" i="2"/>
  <c r="FN28" i="2"/>
  <c r="DY28" i="1"/>
  <c r="FN28" i="1"/>
  <c r="EC27" i="1"/>
  <c r="FO25" i="1"/>
  <c r="EF26" i="1" l="1"/>
  <c r="EG26" i="1" s="1"/>
  <c r="FO26" i="1" s="1"/>
  <c r="ED27" i="1"/>
  <c r="EE27" i="1"/>
  <c r="EF27" i="1" s="1"/>
  <c r="EG27" i="1" s="1"/>
  <c r="FO27" i="3"/>
  <c r="FN29" i="3"/>
  <c r="FN29" i="2"/>
  <c r="DY29" i="2"/>
  <c r="FO26" i="2"/>
  <c r="DY29" i="1"/>
  <c r="FN29" i="1"/>
  <c r="EC28" i="1"/>
  <c r="FO28" i="3" l="1"/>
  <c r="ED28" i="1"/>
  <c r="EE28" i="1"/>
  <c r="FO27" i="1"/>
  <c r="FN30" i="3"/>
  <c r="FN30" i="2"/>
  <c r="DY30" i="2"/>
  <c r="FO27" i="2"/>
  <c r="DY30" i="1"/>
  <c r="FN30" i="1"/>
  <c r="EC29" i="1"/>
  <c r="FO29" i="3" l="1"/>
  <c r="FO29" i="2"/>
  <c r="FO28" i="2"/>
  <c r="ED29" i="1"/>
  <c r="EE29" i="1"/>
  <c r="EF28" i="1"/>
  <c r="EG28" i="1" s="1"/>
  <c r="FO28" i="1" s="1"/>
  <c r="FN31" i="3"/>
  <c r="FN31" i="2"/>
  <c r="DY31" i="2"/>
  <c r="DY31" i="1"/>
  <c r="FN31" i="1"/>
  <c r="EC30" i="1"/>
  <c r="FO30" i="2" l="1"/>
  <c r="ED30" i="1"/>
  <c r="EE30" i="1"/>
  <c r="EF29" i="1"/>
  <c r="EG29" i="1" s="1"/>
  <c r="FO29" i="1" s="1"/>
  <c r="FO31" i="3"/>
  <c r="FN32" i="3"/>
  <c r="FO30" i="3"/>
  <c r="FN32" i="2"/>
  <c r="DY32" i="2"/>
  <c r="DY32" i="1"/>
  <c r="FN32" i="1"/>
  <c r="EC31" i="1"/>
  <c r="ED31" i="1" l="1"/>
  <c r="EE31" i="1"/>
  <c r="EF30" i="1"/>
  <c r="EG30" i="1" s="1"/>
  <c r="FO30" i="1" s="1"/>
  <c r="EC32" i="1"/>
  <c r="FN33" i="3"/>
  <c r="DY33" i="2"/>
  <c r="FN33" i="2"/>
  <c r="FO31" i="2"/>
  <c r="DY33" i="1"/>
  <c r="FN33" i="1"/>
  <c r="FO32" i="3" l="1"/>
  <c r="ED32" i="1"/>
  <c r="EE32" i="1"/>
  <c r="EF31" i="1"/>
  <c r="EG31" i="1" s="1"/>
  <c r="FO31" i="1" s="1"/>
  <c r="FN34" i="3"/>
  <c r="DY34" i="2"/>
  <c r="FN34" i="2"/>
  <c r="DY34" i="1"/>
  <c r="FN34" i="1"/>
  <c r="EC33" i="1"/>
  <c r="ED33" i="1" l="1"/>
  <c r="EE33" i="1"/>
  <c r="EF32" i="1"/>
  <c r="EG32" i="1" s="1"/>
  <c r="FO32" i="1" s="1"/>
  <c r="EC34" i="1"/>
  <c r="FO33" i="3"/>
  <c r="FN35" i="3"/>
  <c r="DY35" i="2"/>
  <c r="FN35" i="2"/>
  <c r="FO32" i="2"/>
  <c r="DY35" i="1"/>
  <c r="FN35" i="1"/>
  <c r="ED34" i="1" l="1"/>
  <c r="EE34" i="1"/>
  <c r="EF33" i="1"/>
  <c r="EG33" i="1" s="1"/>
  <c r="FO33" i="1" s="1"/>
  <c r="EC35" i="1"/>
  <c r="FO34" i="3"/>
  <c r="FO35" i="3"/>
  <c r="FN36" i="3"/>
  <c r="DY36" i="2"/>
  <c r="FN36" i="2"/>
  <c r="FO33" i="2"/>
  <c r="DY36" i="1"/>
  <c r="FN36" i="1"/>
  <c r="FO35" i="2" l="1"/>
  <c r="EF34" i="1"/>
  <c r="EG34" i="1" s="1"/>
  <c r="FO34" i="1" s="1"/>
  <c r="ED35" i="1"/>
  <c r="EE35" i="1"/>
  <c r="FN37" i="3"/>
  <c r="FN37" i="2"/>
  <c r="DY37" i="2"/>
  <c r="FO34" i="2"/>
  <c r="EC37" i="1"/>
  <c r="DY37" i="1"/>
  <c r="FN37" i="1"/>
  <c r="EC36" i="1"/>
  <c r="EF35" i="1" l="1"/>
  <c r="EG35" i="1" s="1"/>
  <c r="FO35" i="1" s="1"/>
  <c r="ED37" i="1"/>
  <c r="EE37" i="1"/>
  <c r="ED36" i="1"/>
  <c r="EE36" i="1"/>
  <c r="FN38" i="3"/>
  <c r="FO36" i="3"/>
  <c r="FN38" i="2"/>
  <c r="DY38" i="2"/>
  <c r="FO36" i="2"/>
  <c r="DY38" i="1"/>
  <c r="FN38" i="1"/>
  <c r="FO37" i="2" l="1"/>
  <c r="EF37" i="1"/>
  <c r="EG37" i="1" s="1"/>
  <c r="FO37" i="1" s="1"/>
  <c r="EF36" i="1"/>
  <c r="EG36" i="1" s="1"/>
  <c r="FO36" i="1" s="1"/>
  <c r="FO37" i="3"/>
  <c r="FO38" i="3"/>
  <c r="FN39" i="3"/>
  <c r="FN39" i="2"/>
  <c r="DY39" i="2"/>
  <c r="DY39" i="1"/>
  <c r="FN39" i="1"/>
  <c r="EC38" i="1"/>
  <c r="ED38" i="1" l="1"/>
  <c r="EE38" i="1"/>
  <c r="FN40" i="3"/>
  <c r="DY40" i="2"/>
  <c r="FN40" i="2"/>
  <c r="DY40" i="1"/>
  <c r="FN40" i="1"/>
  <c r="EC39" i="1"/>
  <c r="FO38" i="2" l="1"/>
  <c r="EF38" i="1"/>
  <c r="EG38" i="1" s="1"/>
  <c r="FO38" i="1" s="1"/>
  <c r="ED39" i="1"/>
  <c r="EE39" i="1"/>
  <c r="FO40" i="3"/>
  <c r="FN41" i="3"/>
  <c r="DY41" i="2"/>
  <c r="FN41" i="2"/>
  <c r="DY41" i="1"/>
  <c r="FN41" i="1"/>
  <c r="EC40" i="1"/>
  <c r="FO39" i="2" l="1"/>
  <c r="ED40" i="1"/>
  <c r="EE40" i="1"/>
  <c r="EF39" i="1"/>
  <c r="EG39" i="1" s="1"/>
  <c r="FO39" i="1" s="1"/>
  <c r="FO39" i="3"/>
  <c r="FN44" i="3"/>
  <c r="FN42" i="2"/>
  <c r="DY44" i="2"/>
  <c r="DY44" i="1"/>
  <c r="FN42" i="1"/>
  <c r="EC41" i="1"/>
  <c r="FO41" i="3" l="1"/>
  <c r="ED41" i="1"/>
  <c r="EE41" i="1"/>
  <c r="EF40" i="1"/>
  <c r="EG40" i="1" s="1"/>
  <c r="FO40" i="1" s="1"/>
  <c r="FN45" i="3"/>
  <c r="FN43" i="2"/>
  <c r="DY45" i="2"/>
  <c r="FO40" i="2"/>
  <c r="DY45" i="1"/>
  <c r="FN43" i="1"/>
  <c r="EC44" i="1"/>
  <c r="FO44" i="3" l="1"/>
  <c r="ED44" i="1"/>
  <c r="EE44" i="1"/>
  <c r="EF41" i="1"/>
  <c r="EG41" i="1" s="1"/>
  <c r="FO41" i="1" s="1"/>
  <c r="FN46" i="3"/>
  <c r="DY46" i="2"/>
  <c r="FN44" i="2"/>
  <c r="FO41" i="2"/>
  <c r="DY46" i="1"/>
  <c r="FN44" i="1"/>
  <c r="EC45" i="1"/>
  <c r="FO45" i="3" l="1"/>
  <c r="FO42" i="2"/>
  <c r="ED45" i="1"/>
  <c r="EE45" i="1"/>
  <c r="EF44" i="1"/>
  <c r="EG44" i="1" s="1"/>
  <c r="FO42" i="1" s="1"/>
  <c r="FN48" i="3"/>
  <c r="FN45" i="2"/>
  <c r="DY48" i="2"/>
  <c r="FN45" i="1"/>
  <c r="DY48" i="1"/>
  <c r="EC46" i="1"/>
  <c r="FO43" i="2" l="1"/>
  <c r="ED46" i="1"/>
  <c r="EE46" i="1"/>
  <c r="EF45" i="1"/>
  <c r="EG45" i="1" s="1"/>
  <c r="FO43" i="1" s="1"/>
  <c r="FO46" i="3"/>
  <c r="FN49" i="3"/>
  <c r="DY49" i="2"/>
  <c r="FN46" i="2"/>
  <c r="DY49" i="1"/>
  <c r="FN46" i="1"/>
  <c r="EC48" i="1"/>
  <c r="FO44" i="2" l="1"/>
  <c r="EF46" i="1"/>
  <c r="EG46" i="1" s="1"/>
  <c r="FO44" i="1" s="1"/>
  <c r="ED48" i="1"/>
  <c r="EF48" i="1" s="1"/>
  <c r="EG48" i="1" s="1"/>
  <c r="EE48" i="1"/>
  <c r="FO48" i="3"/>
  <c r="FN50" i="3"/>
  <c r="DY50" i="2"/>
  <c r="FN47" i="2"/>
  <c r="DY50" i="1"/>
  <c r="FN47" i="1"/>
  <c r="EC49" i="1"/>
  <c r="FO46" i="2" l="1"/>
  <c r="FO45" i="2"/>
  <c r="ED49" i="1"/>
  <c r="EE49" i="1"/>
  <c r="EC50" i="1"/>
  <c r="FO49" i="3"/>
  <c r="FN51" i="3"/>
  <c r="FN48" i="2"/>
  <c r="DY51" i="2"/>
  <c r="DY51" i="1"/>
  <c r="FN48" i="1"/>
  <c r="FO45" i="1"/>
  <c r="FO50" i="3" l="1"/>
  <c r="FO47" i="2"/>
  <c r="ED50" i="1"/>
  <c r="EE50" i="1"/>
  <c r="EF50" i="1" s="1"/>
  <c r="EG50" i="1" s="1"/>
  <c r="FO47" i="1" s="1"/>
  <c r="EF49" i="1"/>
  <c r="EG49" i="1" s="1"/>
  <c r="FO46" i="1" s="1"/>
  <c r="EC51" i="1"/>
  <c r="FN52" i="3"/>
  <c r="DY52" i="2"/>
  <c r="FN49" i="2"/>
  <c r="DY52" i="1"/>
  <c r="FN49" i="1"/>
  <c r="FO51" i="3" l="1"/>
  <c r="FO48" i="2"/>
  <c r="ED51" i="1"/>
  <c r="EE51" i="1"/>
  <c r="FN53" i="3"/>
  <c r="FN50" i="2"/>
  <c r="DY53" i="2"/>
  <c r="FN50" i="1"/>
  <c r="DY53" i="1"/>
  <c r="EC52" i="1"/>
  <c r="FO52" i="3" l="1"/>
  <c r="ED52" i="1"/>
  <c r="EE52" i="1"/>
  <c r="EF51" i="1"/>
  <c r="EG51" i="1" s="1"/>
  <c r="FO48" i="1" s="1"/>
  <c r="FN54" i="3"/>
  <c r="FN51" i="2"/>
  <c r="DY54" i="2"/>
  <c r="FN51" i="1"/>
  <c r="DY54" i="1"/>
  <c r="EC53" i="1"/>
  <c r="FO53" i="3" l="1"/>
  <c r="EF52" i="1"/>
  <c r="EG52" i="1" s="1"/>
  <c r="FO49" i="1" s="1"/>
  <c r="ED53" i="1"/>
  <c r="EE53" i="1"/>
  <c r="EC54" i="1"/>
  <c r="FN55" i="3"/>
  <c r="DY55" i="2"/>
  <c r="FN52" i="2"/>
  <c r="FO49" i="2"/>
  <c r="DY55" i="1"/>
  <c r="FN52" i="1"/>
  <c r="FO50" i="2" l="1"/>
  <c r="FO54" i="3"/>
  <c r="ED54" i="1"/>
  <c r="EE54" i="1"/>
  <c r="EF53" i="1"/>
  <c r="EG53" i="1" s="1"/>
  <c r="FO50" i="1" s="1"/>
  <c r="FN56" i="3"/>
  <c r="DY56" i="2"/>
  <c r="FN53" i="2"/>
  <c r="DY56" i="1"/>
  <c r="FN53" i="1"/>
  <c r="EC55" i="1"/>
  <c r="FO55" i="3" l="1"/>
  <c r="FO52" i="2"/>
  <c r="ED55" i="1"/>
  <c r="EE55" i="1"/>
  <c r="EF54" i="1"/>
  <c r="EG54" i="1" s="1"/>
  <c r="FO51" i="1" s="1"/>
  <c r="EC56" i="1"/>
  <c r="FN57" i="3"/>
  <c r="DY57" i="2"/>
  <c r="FN54" i="2"/>
  <c r="FO51" i="2"/>
  <c r="DY57" i="1"/>
  <c r="FN54" i="1"/>
  <c r="FO56" i="3" l="1"/>
  <c r="ED56" i="1"/>
  <c r="EE56" i="1"/>
  <c r="EF55" i="1"/>
  <c r="EG55" i="1" s="1"/>
  <c r="FO52" i="1" s="1"/>
  <c r="EC57" i="1"/>
  <c r="FN58" i="3"/>
  <c r="DY58" i="2"/>
  <c r="FN55" i="2"/>
  <c r="FN55" i="1"/>
  <c r="DY58" i="1"/>
  <c r="FO57" i="3" l="1"/>
  <c r="FO53" i="2"/>
  <c r="ED57" i="1"/>
  <c r="EE57" i="1"/>
  <c r="EF56" i="1"/>
  <c r="EG56" i="1" s="1"/>
  <c r="FO53" i="1" s="1"/>
  <c r="FN59" i="3"/>
  <c r="FN56" i="2"/>
  <c r="DY59" i="2"/>
  <c r="DY59" i="1"/>
  <c r="FN56" i="1"/>
  <c r="EC58" i="1"/>
  <c r="FO58" i="3" l="1"/>
  <c r="FO55" i="2"/>
  <c r="FO54" i="2"/>
  <c r="EF57" i="1"/>
  <c r="EG57" i="1" s="1"/>
  <c r="FO54" i="1" s="1"/>
  <c r="ED58" i="1"/>
  <c r="EE58" i="1"/>
  <c r="EC59" i="1"/>
  <c r="FN60" i="3"/>
  <c r="DY60" i="2"/>
  <c r="FN57" i="2"/>
  <c r="FN57" i="1"/>
  <c r="DY60" i="1"/>
  <c r="EF58" i="1" l="1"/>
  <c r="EG58" i="1" s="1"/>
  <c r="FO55" i="1" s="1"/>
  <c r="ED59" i="1"/>
  <c r="EE59" i="1"/>
  <c r="EC60" i="1"/>
  <c r="FO59" i="3"/>
  <c r="FN61" i="3"/>
  <c r="DY61" i="2"/>
  <c r="FN58" i="2"/>
  <c r="DY61" i="1"/>
  <c r="FN58" i="1"/>
  <c r="FO56" i="2" l="1"/>
  <c r="FO57" i="2"/>
  <c r="ED60" i="1"/>
  <c r="EE60" i="1"/>
  <c r="EF59" i="1"/>
  <c r="EG59" i="1" s="1"/>
  <c r="FO56" i="1" s="1"/>
  <c r="FO60" i="3"/>
  <c r="FN62" i="3"/>
  <c r="DY62" i="2"/>
  <c r="FN59" i="2"/>
  <c r="FN59" i="1"/>
  <c r="DY62" i="1"/>
  <c r="EC61" i="1"/>
  <c r="FO61" i="3" l="1"/>
  <c r="FO58" i="2"/>
  <c r="ED61" i="1"/>
  <c r="EE61" i="1"/>
  <c r="EF60" i="1"/>
  <c r="EG60" i="1" s="1"/>
  <c r="FO57" i="1" s="1"/>
  <c r="EC62" i="1"/>
  <c r="FN63" i="3"/>
  <c r="DY63" i="2"/>
  <c r="FN60" i="2"/>
  <c r="FN60" i="1"/>
  <c r="DY63" i="1"/>
  <c r="FO62" i="3" l="1"/>
  <c r="FO59" i="2"/>
  <c r="EF61" i="1"/>
  <c r="EG61" i="1" s="1"/>
  <c r="FO58" i="1" s="1"/>
  <c r="ED62" i="1"/>
  <c r="EE62" i="1"/>
  <c r="FN64" i="3"/>
  <c r="DY64" i="2"/>
  <c r="FN61" i="2"/>
  <c r="DY64" i="1"/>
  <c r="FN61" i="1"/>
  <c r="EC63" i="1"/>
  <c r="FO63" i="3" l="1"/>
  <c r="EF62" i="1"/>
  <c r="EG62" i="1" s="1"/>
  <c r="FO59" i="1" s="1"/>
  <c r="ED63" i="1"/>
  <c r="EE63" i="1"/>
  <c r="EC64" i="1"/>
  <c r="FN65" i="3"/>
  <c r="FN62" i="2"/>
  <c r="DY65" i="2"/>
  <c r="FO60" i="2"/>
  <c r="DY65" i="1"/>
  <c r="FN62" i="1"/>
  <c r="FO61" i="2" l="1"/>
  <c r="ED64" i="1"/>
  <c r="EE64" i="1"/>
  <c r="EF63" i="1"/>
  <c r="EG63" i="1" s="1"/>
  <c r="FO60" i="1" s="1"/>
  <c r="EC65" i="1"/>
  <c r="FO64" i="3"/>
  <c r="FN66" i="3"/>
  <c r="FN63" i="2"/>
  <c r="DY66" i="2"/>
  <c r="FN63" i="1"/>
  <c r="DY66" i="1"/>
  <c r="FO65" i="3" l="1"/>
  <c r="FO62" i="2"/>
  <c r="EF64" i="1"/>
  <c r="EG64" i="1" s="1"/>
  <c r="FO61" i="1" s="1"/>
  <c r="ED65" i="1"/>
  <c r="EE65" i="1"/>
  <c r="EC66" i="1"/>
  <c r="FN67" i="3"/>
  <c r="FO63" i="2"/>
  <c r="DY67" i="2"/>
  <c r="FN64" i="2"/>
  <c r="DY67" i="1"/>
  <c r="FN64" i="1"/>
  <c r="EF65" i="1" l="1"/>
  <c r="EG65" i="1" s="1"/>
  <c r="FO62" i="1" s="1"/>
  <c r="ED66" i="1"/>
  <c r="EE66" i="1"/>
  <c r="EC67" i="1"/>
  <c r="FO66" i="3"/>
  <c r="FN68" i="3"/>
  <c r="DY68" i="2"/>
  <c r="FN65" i="2"/>
  <c r="DY68" i="1"/>
  <c r="FN65" i="1"/>
  <c r="ED67" i="1" l="1"/>
  <c r="EE67" i="1"/>
  <c r="EF66" i="1"/>
  <c r="EG66" i="1" s="1"/>
  <c r="FO63" i="1" s="1"/>
  <c r="FN69" i="3"/>
  <c r="FO67" i="3"/>
  <c r="FN66" i="2"/>
  <c r="DY69" i="2"/>
  <c r="DY69" i="1"/>
  <c r="FN66" i="1"/>
  <c r="EC68" i="1"/>
  <c r="FO68" i="3" l="1"/>
  <c r="FO65" i="2"/>
  <c r="FO64" i="2"/>
  <c r="EF67" i="1"/>
  <c r="EG67" i="1" s="1"/>
  <c r="FO64" i="1" s="1"/>
  <c r="ED68" i="1"/>
  <c r="EE68" i="1"/>
  <c r="EC69" i="1"/>
  <c r="FN71" i="3"/>
  <c r="DY70" i="2"/>
  <c r="FN67" i="2"/>
  <c r="DY70" i="1"/>
  <c r="FN67" i="1"/>
  <c r="FO69" i="3" l="1"/>
  <c r="FO66" i="2"/>
  <c r="ED69" i="1"/>
  <c r="EE69" i="1"/>
  <c r="EF68" i="1"/>
  <c r="EG68" i="1" s="1"/>
  <c r="FO65" i="1" s="1"/>
  <c r="FN72" i="3"/>
  <c r="DY71" i="2"/>
  <c r="FN68" i="2"/>
  <c r="DY71" i="1"/>
  <c r="FN68" i="1"/>
  <c r="EC70" i="1"/>
  <c r="ED70" i="1" l="1"/>
  <c r="EE70" i="1"/>
  <c r="EF69" i="1"/>
  <c r="EG69" i="1" s="1"/>
  <c r="FO66" i="1" s="1"/>
  <c r="EC71" i="1"/>
  <c r="FO71" i="3"/>
  <c r="FN73" i="3"/>
  <c r="DY72" i="2"/>
  <c r="FN69" i="2"/>
  <c r="DY72" i="1"/>
  <c r="FN69" i="1"/>
  <c r="FO67" i="2" l="1"/>
  <c r="EF70" i="1"/>
  <c r="EG70" i="1" s="1"/>
  <c r="FO67" i="1" s="1"/>
  <c r="ED71" i="1"/>
  <c r="EE71" i="1"/>
  <c r="FO72" i="3"/>
  <c r="FN74" i="3"/>
  <c r="DY73" i="2"/>
  <c r="FN70" i="2"/>
  <c r="FN70" i="1"/>
  <c r="DY73" i="1"/>
  <c r="EC72" i="1"/>
  <c r="FO73" i="3" l="1"/>
  <c r="EF71" i="1"/>
  <c r="EG71" i="1" s="1"/>
  <c r="FO68" i="1" s="1"/>
  <c r="ED72" i="1"/>
  <c r="EE72" i="1"/>
  <c r="EC73" i="1"/>
  <c r="FN75" i="3"/>
  <c r="DY74" i="2"/>
  <c r="FN71" i="2"/>
  <c r="FO68" i="2"/>
  <c r="FN71" i="1"/>
  <c r="DY74" i="1"/>
  <c r="FO74" i="3" l="1"/>
  <c r="FO69" i="2"/>
  <c r="EF72" i="1"/>
  <c r="EG72" i="1" s="1"/>
  <c r="FO69" i="1" s="1"/>
  <c r="ED73" i="1"/>
  <c r="EE73" i="1"/>
  <c r="EC74" i="1"/>
  <c r="FN76" i="3"/>
  <c r="FN72" i="2"/>
  <c r="DY75" i="2"/>
  <c r="FN72" i="1"/>
  <c r="DY75" i="1"/>
  <c r="EF73" i="1" l="1"/>
  <c r="EG73" i="1" s="1"/>
  <c r="FO70" i="1" s="1"/>
  <c r="ED74" i="1"/>
  <c r="EE74" i="1"/>
  <c r="FN77" i="3"/>
  <c r="DY76" i="2"/>
  <c r="FN73" i="2"/>
  <c r="FO70" i="2"/>
  <c r="FN73" i="1"/>
  <c r="DY76" i="1"/>
  <c r="EC75" i="1"/>
  <c r="FO76" i="3" l="1"/>
  <c r="FO72" i="2"/>
  <c r="ED75" i="1"/>
  <c r="EE75" i="1"/>
  <c r="EF74" i="1"/>
  <c r="EG74" i="1" s="1"/>
  <c r="FO71" i="1" s="1"/>
  <c r="EC76" i="1"/>
  <c r="FN78" i="3"/>
  <c r="FO75" i="3"/>
  <c r="FN74" i="2"/>
  <c r="DY77" i="2"/>
  <c r="FO71" i="2"/>
  <c r="FN74" i="1"/>
  <c r="DY77" i="1"/>
  <c r="EF75" i="1" l="1"/>
  <c r="EG75" i="1" s="1"/>
  <c r="FO72" i="1" s="1"/>
  <c r="ED76" i="1"/>
  <c r="EE76" i="1"/>
  <c r="FN79" i="3"/>
  <c r="FN75" i="2"/>
  <c r="DY78" i="2"/>
  <c r="FN75" i="1"/>
  <c r="DY78" i="1"/>
  <c r="EC77" i="1"/>
  <c r="FO78" i="3" l="1"/>
  <c r="FO73" i="2"/>
  <c r="ED77" i="1"/>
  <c r="EE77" i="1"/>
  <c r="EF76" i="1"/>
  <c r="EG76" i="1" s="1"/>
  <c r="FO73" i="1" s="1"/>
  <c r="FN80" i="3"/>
  <c r="FO77" i="3"/>
  <c r="DY79" i="2"/>
  <c r="FN76" i="2"/>
  <c r="FN76" i="1"/>
  <c r="DY79" i="1"/>
  <c r="EC78" i="1"/>
  <c r="FO79" i="3" l="1"/>
  <c r="FO74" i="2"/>
  <c r="EF77" i="1"/>
  <c r="EG77" i="1" s="1"/>
  <c r="FO74" i="1" s="1"/>
  <c r="ED78" i="1"/>
  <c r="EF78" i="1" s="1"/>
  <c r="EG78" i="1" s="1"/>
  <c r="EE78" i="1"/>
  <c r="FN81" i="3"/>
  <c r="FN77" i="2"/>
  <c r="DY80" i="2"/>
  <c r="FN77" i="1"/>
  <c r="DY80" i="1"/>
  <c r="EC79" i="1"/>
  <c r="FO80" i="3" l="1"/>
  <c r="ED79" i="1"/>
  <c r="EE79" i="1"/>
  <c r="EC80" i="1"/>
  <c r="FN82" i="3"/>
  <c r="FN78" i="2"/>
  <c r="DY81" i="2"/>
  <c r="FO75" i="2"/>
  <c r="DY81" i="1"/>
  <c r="FN78" i="1"/>
  <c r="FO75" i="1"/>
  <c r="FO81" i="3" l="1"/>
  <c r="FO76" i="2"/>
  <c r="ED80" i="1"/>
  <c r="EE80" i="1"/>
  <c r="EF79" i="1"/>
  <c r="EG79" i="1" s="1"/>
  <c r="FO76" i="1" s="1"/>
  <c r="EC81" i="1"/>
  <c r="FN83" i="3"/>
  <c r="DY82" i="2"/>
  <c r="FN79" i="2"/>
  <c r="DY82" i="1"/>
  <c r="FN79" i="1"/>
  <c r="FO82" i="3" l="1"/>
  <c r="FO78" i="2"/>
  <c r="FO77" i="2"/>
  <c r="ED81" i="1"/>
  <c r="EE81" i="1"/>
  <c r="EF80" i="1"/>
  <c r="EG80" i="1" s="1"/>
  <c r="FO77" i="1" s="1"/>
  <c r="FN84" i="3"/>
  <c r="FN80" i="2"/>
  <c r="DY83" i="2"/>
  <c r="DY83" i="1"/>
  <c r="FN80" i="1"/>
  <c r="EC82" i="1"/>
  <c r="FO83" i="3" l="1"/>
  <c r="ED82" i="1"/>
  <c r="EE82" i="1"/>
  <c r="EF81" i="1"/>
  <c r="EG81" i="1" s="1"/>
  <c r="FO78" i="1" s="1"/>
  <c r="FN85" i="3"/>
  <c r="FN81" i="2"/>
  <c r="DY84" i="2"/>
  <c r="DY84" i="1"/>
  <c r="FN81" i="1"/>
  <c r="EC83" i="1"/>
  <c r="FO84" i="3" l="1"/>
  <c r="FO80" i="2"/>
  <c r="EF82" i="1"/>
  <c r="EG82" i="1" s="1"/>
  <c r="FO79" i="1" s="1"/>
  <c r="ED83" i="1"/>
  <c r="EE83" i="1"/>
  <c r="EF83" i="1" s="1"/>
  <c r="EG83" i="1" s="1"/>
  <c r="FN86" i="3"/>
  <c r="DY85" i="2"/>
  <c r="FN82" i="2"/>
  <c r="FO79" i="2"/>
  <c r="DY85" i="1"/>
  <c r="FN82" i="1"/>
  <c r="EC84" i="1"/>
  <c r="ED84" i="1" l="1"/>
  <c r="EE84" i="1"/>
  <c r="FO85" i="3"/>
  <c r="FN87" i="3"/>
  <c r="FN83" i="2"/>
  <c r="DY86" i="2"/>
  <c r="DY86" i="1"/>
  <c r="FN83" i="1"/>
  <c r="EC85" i="1"/>
  <c r="FO80" i="1"/>
  <c r="FO86" i="3" l="1"/>
  <c r="FO81" i="2"/>
  <c r="ED85" i="1"/>
  <c r="EE85" i="1"/>
  <c r="EF84" i="1"/>
  <c r="EG84" i="1" s="1"/>
  <c r="FO81" i="1" s="1"/>
  <c r="FN88" i="3"/>
  <c r="DY87" i="2"/>
  <c r="FN84" i="2"/>
  <c r="DY87" i="1"/>
  <c r="FN84" i="1"/>
  <c r="EC86" i="1"/>
  <c r="FO82" i="2" l="1"/>
  <c r="ED86" i="1"/>
  <c r="EE86" i="1"/>
  <c r="EF85" i="1"/>
  <c r="EG85" i="1" s="1"/>
  <c r="FO82" i="1" s="1"/>
  <c r="EC87" i="1"/>
  <c r="FO87" i="3"/>
  <c r="FN89" i="3"/>
  <c r="FN85" i="2"/>
  <c r="DY88" i="2"/>
  <c r="DY88" i="1"/>
  <c r="FN85" i="1"/>
  <c r="FO88" i="3" l="1"/>
  <c r="ED87" i="1"/>
  <c r="EE87" i="1"/>
  <c r="EF86" i="1"/>
  <c r="EG86" i="1" s="1"/>
  <c r="FO83" i="1" s="1"/>
  <c r="FN90" i="3"/>
  <c r="DY89" i="2"/>
  <c r="FN86" i="2"/>
  <c r="FO83" i="2"/>
  <c r="DY89" i="1"/>
  <c r="FN86" i="1"/>
  <c r="EC88" i="1"/>
  <c r="FO89" i="3" l="1"/>
  <c r="FO84" i="2"/>
  <c r="ED88" i="1"/>
  <c r="EE88" i="1"/>
  <c r="EF87" i="1"/>
  <c r="EG87" i="1" s="1"/>
  <c r="FO84" i="1" s="1"/>
  <c r="FN91" i="3"/>
  <c r="DY90" i="2"/>
  <c r="FN87" i="2"/>
  <c r="DY90" i="1"/>
  <c r="FN87" i="1"/>
  <c r="EC89" i="1"/>
  <c r="FO90" i="3" l="1"/>
  <c r="EF88" i="1"/>
  <c r="EG88" i="1" s="1"/>
  <c r="FO85" i="1" s="1"/>
  <c r="ED89" i="1"/>
  <c r="EE89" i="1"/>
  <c r="FN92" i="3"/>
  <c r="FN88" i="2"/>
  <c r="DY91" i="2"/>
  <c r="FO85" i="2"/>
  <c r="FN88" i="1"/>
  <c r="DY91" i="1"/>
  <c r="EC90" i="1"/>
  <c r="FO91" i="3" l="1"/>
  <c r="FO86" i="2"/>
  <c r="ED90" i="1"/>
  <c r="EE90" i="1"/>
  <c r="EF89" i="1"/>
  <c r="EG89" i="1" s="1"/>
  <c r="FO86" i="1" s="1"/>
  <c r="FN93" i="3"/>
  <c r="FN89" i="2"/>
  <c r="DY92" i="2"/>
  <c r="DY92" i="1"/>
  <c r="FN89" i="1"/>
  <c r="EC91" i="1"/>
  <c r="FO92" i="3" l="1"/>
  <c r="FO88" i="2"/>
  <c r="ED91" i="1"/>
  <c r="EE91" i="1"/>
  <c r="EF90" i="1"/>
  <c r="EG90" i="1" s="1"/>
  <c r="FO87" i="1" s="1"/>
  <c r="FN94" i="3"/>
  <c r="DY93" i="2"/>
  <c r="FN90" i="2"/>
  <c r="FO87" i="2"/>
  <c r="DY93" i="1"/>
  <c r="FN90" i="1"/>
  <c r="EC92" i="1"/>
  <c r="FO93" i="3" l="1"/>
  <c r="ED92" i="1"/>
  <c r="EE92" i="1"/>
  <c r="EF91" i="1"/>
  <c r="EG91" i="1" s="1"/>
  <c r="FO88" i="1" s="1"/>
  <c r="EC93" i="1"/>
  <c r="FN95" i="3"/>
  <c r="DY94" i="2"/>
  <c r="FN91" i="2"/>
  <c r="DY94" i="1"/>
  <c r="FN91" i="1"/>
  <c r="FO90" i="2" l="1"/>
  <c r="ED93" i="1"/>
  <c r="EE93" i="1"/>
  <c r="EF92" i="1"/>
  <c r="EG92" i="1" s="1"/>
  <c r="FO89" i="1" s="1"/>
  <c r="EC94" i="1"/>
  <c r="FN96" i="3"/>
  <c r="DY95" i="2"/>
  <c r="FN92" i="2"/>
  <c r="FO89" i="2"/>
  <c r="DY95" i="1"/>
  <c r="FN92" i="1"/>
  <c r="FO95" i="3" l="1"/>
  <c r="ED94" i="1"/>
  <c r="EE94" i="1"/>
  <c r="EF93" i="1"/>
  <c r="EG93" i="1" s="1"/>
  <c r="FO90" i="1" s="1"/>
  <c r="FN97" i="3"/>
  <c r="FO94" i="3"/>
  <c r="DY96" i="2"/>
  <c r="FN93" i="2"/>
  <c r="DY96" i="1"/>
  <c r="FN93" i="1"/>
  <c r="EC95" i="1"/>
  <c r="FO96" i="3" l="1"/>
  <c r="FO91" i="2"/>
  <c r="ED95" i="1"/>
  <c r="EE95" i="1"/>
  <c r="EF94" i="1"/>
  <c r="EG94" i="1" s="1"/>
  <c r="FO91" i="1" s="1"/>
  <c r="FN98" i="3"/>
  <c r="DY97" i="2"/>
  <c r="FN94" i="2"/>
  <c r="DY97" i="1"/>
  <c r="FN94" i="1"/>
  <c r="EC96" i="1"/>
  <c r="FO93" i="2" l="1"/>
  <c r="EF95" i="1"/>
  <c r="EG95" i="1" s="1"/>
  <c r="FO92" i="1" s="1"/>
  <c r="ED96" i="1"/>
  <c r="EE96" i="1"/>
  <c r="FO97" i="3"/>
  <c r="FN99" i="3"/>
  <c r="DY98" i="2"/>
  <c r="FN95" i="2"/>
  <c r="FO92" i="2"/>
  <c r="DY98" i="1"/>
  <c r="FN95" i="1"/>
  <c r="EC97" i="1"/>
  <c r="FO98" i="3" l="1"/>
  <c r="FO94" i="2"/>
  <c r="ED97" i="1"/>
  <c r="EE97" i="1"/>
  <c r="EF96" i="1"/>
  <c r="EG96" i="1" s="1"/>
  <c r="FO93" i="1" s="1"/>
  <c r="FN100" i="3"/>
  <c r="DY99" i="2"/>
  <c r="FN96" i="2"/>
  <c r="FN96" i="1"/>
  <c r="DY99" i="1"/>
  <c r="EC98" i="1"/>
  <c r="FO99" i="3" l="1"/>
  <c r="ED98" i="1"/>
  <c r="EE98" i="1"/>
  <c r="EF97" i="1"/>
  <c r="EG97" i="1" s="1"/>
  <c r="FO94" i="1" s="1"/>
  <c r="FN101" i="3"/>
  <c r="DY100" i="2"/>
  <c r="FN97" i="2"/>
  <c r="FN97" i="1"/>
  <c r="DY100" i="1"/>
  <c r="EC99" i="1"/>
  <c r="FO100" i="3" l="1"/>
  <c r="FO96" i="2"/>
  <c r="EF98" i="1"/>
  <c r="EG98" i="1" s="1"/>
  <c r="FO95" i="1" s="1"/>
  <c r="ED99" i="1"/>
  <c r="EE99" i="1"/>
  <c r="FN102" i="3"/>
  <c r="FN98" i="2"/>
  <c r="DY101" i="2"/>
  <c r="FO95" i="2"/>
  <c r="DY101" i="1"/>
  <c r="FN98" i="1"/>
  <c r="EC100" i="1"/>
  <c r="FO101" i="3" l="1"/>
  <c r="FO97" i="2"/>
  <c r="ED100" i="1"/>
  <c r="EE100" i="1"/>
  <c r="EF99" i="1"/>
  <c r="EG99" i="1" s="1"/>
  <c r="FO96" i="1" s="1"/>
  <c r="FN103" i="3"/>
  <c r="DY102" i="2"/>
  <c r="FN99" i="2"/>
  <c r="FN99" i="1"/>
  <c r="DY102" i="1"/>
  <c r="EC102" i="1" s="1"/>
  <c r="EC101" i="1"/>
  <c r="FO102" i="3" l="1"/>
  <c r="FO98" i="2"/>
  <c r="EF100" i="1"/>
  <c r="EG100" i="1" s="1"/>
  <c r="FO97" i="1" s="1"/>
  <c r="ED102" i="1"/>
  <c r="EE102" i="1"/>
  <c r="ED101" i="1"/>
  <c r="EE101" i="1"/>
  <c r="FN104" i="3"/>
  <c r="DY103" i="2"/>
  <c r="FN100" i="2"/>
  <c r="DY103" i="1"/>
  <c r="FN100" i="1"/>
  <c r="FO103" i="3" l="1"/>
  <c r="FO99" i="2"/>
  <c r="EF101" i="1"/>
  <c r="EG101" i="1" s="1"/>
  <c r="FO98" i="1" s="1"/>
  <c r="EF102" i="1"/>
  <c r="EG102" i="1" s="1"/>
  <c r="FO99" i="1" s="1"/>
  <c r="FN105" i="3"/>
  <c r="FN101" i="2"/>
  <c r="DY104" i="2"/>
  <c r="DY104" i="1"/>
  <c r="FN101" i="1"/>
  <c r="EC103" i="1"/>
  <c r="FO104" i="3" l="1"/>
  <c r="ED103" i="1"/>
  <c r="EE103" i="1"/>
  <c r="FN106" i="3"/>
  <c r="DY105" i="2"/>
  <c r="FN102" i="2"/>
  <c r="DY105" i="1"/>
  <c r="FN102" i="1"/>
  <c r="EC104" i="1"/>
  <c r="FO105" i="3" l="1"/>
  <c r="FO100" i="2"/>
  <c r="ED104" i="1"/>
  <c r="EE104" i="1"/>
  <c r="EF103" i="1"/>
  <c r="EG103" i="1" s="1"/>
  <c r="FO100" i="1" s="1"/>
  <c r="FN107" i="3"/>
  <c r="DY106" i="2"/>
  <c r="FN103" i="2"/>
  <c r="FO101" i="2"/>
  <c r="DY106" i="1"/>
  <c r="FN103" i="1"/>
  <c r="EC105" i="1"/>
  <c r="FO106" i="3" l="1"/>
  <c r="FO102" i="2"/>
  <c r="ED105" i="1"/>
  <c r="EE105" i="1"/>
  <c r="EF104" i="1"/>
  <c r="EG104" i="1" s="1"/>
  <c r="FO101" i="1" s="1"/>
  <c r="FN108" i="3"/>
  <c r="DY107" i="2"/>
  <c r="FN104" i="2"/>
  <c r="DY107" i="1"/>
  <c r="FN104" i="1"/>
  <c r="EC106" i="1"/>
  <c r="ED106" i="1" l="1"/>
  <c r="EE106" i="1"/>
  <c r="EF105" i="1"/>
  <c r="EG105" i="1" s="1"/>
  <c r="FO102" i="1" s="1"/>
  <c r="FO107" i="3"/>
  <c r="FN109" i="3"/>
  <c r="DY108" i="2"/>
  <c r="FN105" i="2"/>
  <c r="DY108" i="1"/>
  <c r="FN105" i="1"/>
  <c r="EC107" i="1"/>
  <c r="FO108" i="3" l="1"/>
  <c r="FO104" i="2"/>
  <c r="FO103" i="2"/>
  <c r="ED107" i="1"/>
  <c r="EE107" i="1"/>
  <c r="EF107" i="1" s="1"/>
  <c r="EG107" i="1" s="1"/>
  <c r="EF106" i="1"/>
  <c r="EG106" i="1" s="1"/>
  <c r="FO103" i="1" s="1"/>
  <c r="EC108" i="1"/>
  <c r="FN110" i="3"/>
  <c r="DY109" i="2"/>
  <c r="FN106" i="2"/>
  <c r="DY109" i="1"/>
  <c r="FN106" i="1"/>
  <c r="FO109" i="3" l="1"/>
  <c r="ED108" i="1"/>
  <c r="EE108" i="1"/>
  <c r="FN111" i="3"/>
  <c r="DY110" i="2"/>
  <c r="FN107" i="2"/>
  <c r="DY110" i="1"/>
  <c r="FN107" i="1"/>
  <c r="EC109" i="1"/>
  <c r="FO104" i="1"/>
  <c r="FO110" i="3" l="1"/>
  <c r="ED109" i="1"/>
  <c r="EE109" i="1"/>
  <c r="EF108" i="1"/>
  <c r="EG108" i="1" s="1"/>
  <c r="FO105" i="1" s="1"/>
  <c r="EC110" i="1"/>
  <c r="FN112" i="3"/>
  <c r="DY111" i="2"/>
  <c r="FN108" i="2"/>
  <c r="FO105" i="2"/>
  <c r="DY111" i="1"/>
  <c r="FN108" i="1"/>
  <c r="FO111" i="3" l="1"/>
  <c r="FO107" i="2"/>
  <c r="FO106" i="2"/>
  <c r="EF109" i="1"/>
  <c r="EG109" i="1" s="1"/>
  <c r="FO106" i="1" s="1"/>
  <c r="ED110" i="1"/>
  <c r="EE110" i="1"/>
  <c r="EC111" i="1"/>
  <c r="FN113" i="3"/>
  <c r="DY112" i="2"/>
  <c r="FN109" i="2"/>
  <c r="DY112" i="1"/>
  <c r="FN109" i="1"/>
  <c r="FO112" i="3" l="1"/>
  <c r="ED111" i="1"/>
  <c r="EE111" i="1"/>
  <c r="EF110" i="1"/>
  <c r="EG110" i="1" s="1"/>
  <c r="FO107" i="1" s="1"/>
  <c r="FN114" i="3"/>
  <c r="DY113" i="2"/>
  <c r="FN110" i="2"/>
  <c r="FO108" i="2"/>
  <c r="DY113" i="1"/>
  <c r="FN110" i="1"/>
  <c r="EC112" i="1"/>
  <c r="FO113" i="3" l="1"/>
  <c r="EF111" i="1"/>
  <c r="EG111" i="1" s="1"/>
  <c r="FO108" i="1" s="1"/>
  <c r="ED112" i="1"/>
  <c r="EE112" i="1"/>
  <c r="FN115" i="3"/>
  <c r="DY114" i="2"/>
  <c r="FN111" i="2"/>
  <c r="DY114" i="1"/>
  <c r="FN111" i="1"/>
  <c r="EC113" i="1"/>
  <c r="FO114" i="3" l="1"/>
  <c r="FO110" i="2"/>
  <c r="FO109" i="2"/>
  <c r="EF112" i="1"/>
  <c r="EG112" i="1" s="1"/>
  <c r="FO109" i="1" s="1"/>
  <c r="ED113" i="1"/>
  <c r="EF113" i="1" s="1"/>
  <c r="EG113" i="1" s="1"/>
  <c r="EE113" i="1"/>
  <c r="FN116" i="3"/>
  <c r="DY115" i="2"/>
  <c r="FN112" i="2"/>
  <c r="DY115" i="1"/>
  <c r="FN112" i="1"/>
  <c r="EC114" i="1"/>
  <c r="FO115" i="3" l="1"/>
  <c r="ED114" i="1"/>
  <c r="EE114" i="1"/>
  <c r="EF114" i="1" s="1"/>
  <c r="EG114" i="1" s="1"/>
  <c r="FN117" i="3"/>
  <c r="DY116" i="2"/>
  <c r="FN113" i="2"/>
  <c r="DY116" i="1"/>
  <c r="FN113" i="1"/>
  <c r="EC115" i="1"/>
  <c r="FO110" i="1"/>
  <c r="FO116" i="3" l="1"/>
  <c r="FO112" i="2"/>
  <c r="FO111" i="2"/>
  <c r="ED115" i="1"/>
  <c r="EE115" i="1"/>
  <c r="EF115" i="1" s="1"/>
  <c r="EG115" i="1" s="1"/>
  <c r="FN118" i="3"/>
  <c r="DY117" i="2"/>
  <c r="FN114" i="2"/>
  <c r="DY117" i="1"/>
  <c r="FN114" i="1"/>
  <c r="FO111" i="1"/>
  <c r="EC116" i="1"/>
  <c r="FO117" i="3" l="1"/>
  <c r="ED116" i="1"/>
  <c r="EE116" i="1"/>
  <c r="FN119" i="3"/>
  <c r="DY118" i="2"/>
  <c r="FN115" i="2"/>
  <c r="DY118" i="1"/>
  <c r="FN115" i="1"/>
  <c r="FO112" i="1"/>
  <c r="EC117" i="1"/>
  <c r="FO118" i="3" l="1"/>
  <c r="FO114" i="2"/>
  <c r="EF116" i="1"/>
  <c r="EG116" i="1" s="1"/>
  <c r="FO113" i="1" s="1"/>
  <c r="ED117" i="1"/>
  <c r="EE117" i="1"/>
  <c r="EC118" i="1"/>
  <c r="FN120" i="3"/>
  <c r="DY119" i="2"/>
  <c r="FN116" i="2"/>
  <c r="FO113" i="2"/>
  <c r="DY119" i="1"/>
  <c r="FN116" i="1"/>
  <c r="FO119" i="3" l="1"/>
  <c r="EF117" i="1"/>
  <c r="EG117" i="1" s="1"/>
  <c r="FO114" i="1" s="1"/>
  <c r="ED118" i="1"/>
  <c r="EE118" i="1"/>
  <c r="FN121" i="3"/>
  <c r="DY120" i="2"/>
  <c r="FN117" i="2"/>
  <c r="DY120" i="1"/>
  <c r="FN117" i="1"/>
  <c r="EC119" i="1"/>
  <c r="FO115" i="2" l="1"/>
  <c r="ED119" i="1"/>
  <c r="EE119" i="1"/>
  <c r="EF118" i="1"/>
  <c r="EG118" i="1" s="1"/>
  <c r="FO115" i="1" s="1"/>
  <c r="FN122" i="3"/>
  <c r="FO120" i="3"/>
  <c r="DY121" i="2"/>
  <c r="FN118" i="2"/>
  <c r="DY121" i="1"/>
  <c r="FN118" i="1"/>
  <c r="EC120" i="1"/>
  <c r="FO121" i="3" l="1"/>
  <c r="ED120" i="1"/>
  <c r="EF120" i="1" s="1"/>
  <c r="EG120" i="1" s="1"/>
  <c r="EE120" i="1"/>
  <c r="EF119" i="1"/>
  <c r="EG119" i="1" s="1"/>
  <c r="FO116" i="1" s="1"/>
  <c r="EC121" i="1"/>
  <c r="FN123" i="3"/>
  <c r="DY122" i="2"/>
  <c r="FN119" i="2"/>
  <c r="FO116" i="2"/>
  <c r="DY122" i="1"/>
  <c r="FN119" i="1"/>
  <c r="FO122" i="3" l="1"/>
  <c r="ED121" i="1"/>
  <c r="EE121" i="1"/>
  <c r="EC122" i="1"/>
  <c r="FN124" i="3"/>
  <c r="DY123" i="2"/>
  <c r="FN120" i="2"/>
  <c r="FO117" i="2"/>
  <c r="DY123" i="1"/>
  <c r="FN120" i="1"/>
  <c r="FO117" i="1"/>
  <c r="FO123" i="3" l="1"/>
  <c r="ED122" i="1"/>
  <c r="EE122" i="1"/>
  <c r="EF121" i="1"/>
  <c r="EG121" i="1" s="1"/>
  <c r="FO118" i="1" s="1"/>
  <c r="FN125" i="3"/>
  <c r="DY124" i="2"/>
  <c r="FN121" i="2"/>
  <c r="FO118" i="2"/>
  <c r="DY124" i="1"/>
  <c r="FN121" i="1"/>
  <c r="EC123" i="1"/>
  <c r="EF122" i="1" l="1"/>
  <c r="EG122" i="1" s="1"/>
  <c r="FO119" i="1" s="1"/>
  <c r="ED123" i="1"/>
  <c r="EE123" i="1"/>
  <c r="EC124" i="1"/>
  <c r="FN126" i="3"/>
  <c r="DY125" i="2"/>
  <c r="FN122" i="2"/>
  <c r="FO119" i="2"/>
  <c r="DY125" i="1"/>
  <c r="FN122" i="1"/>
  <c r="ED124" i="1" l="1"/>
  <c r="EE124" i="1"/>
  <c r="EF123" i="1"/>
  <c r="EG123" i="1" s="1"/>
  <c r="FO120" i="1" s="1"/>
  <c r="FO125" i="3"/>
  <c r="FO124" i="3"/>
  <c r="FN127" i="3"/>
  <c r="DY126" i="2"/>
  <c r="FN123" i="2"/>
  <c r="FO120" i="2"/>
  <c r="DY126" i="1"/>
  <c r="FN123" i="1"/>
  <c r="EC125" i="1"/>
  <c r="FO126" i="3" l="1"/>
  <c r="ED125" i="1"/>
  <c r="EE125" i="1"/>
  <c r="EF124" i="1"/>
  <c r="EG124" i="1" s="1"/>
  <c r="FO121" i="1" s="1"/>
  <c r="FN128" i="3"/>
  <c r="DY127" i="2"/>
  <c r="FN124" i="2"/>
  <c r="FO121" i="2"/>
  <c r="DY127" i="1"/>
  <c r="FN124" i="1"/>
  <c r="EC126" i="1"/>
  <c r="FO122" i="2" l="1"/>
  <c r="EF125" i="1"/>
  <c r="EG125" i="1" s="1"/>
  <c r="FO122" i="1" s="1"/>
  <c r="ED126" i="1"/>
  <c r="EE126" i="1"/>
  <c r="EC127" i="1"/>
  <c r="FN129" i="3"/>
  <c r="DY128" i="2"/>
  <c r="FN125" i="2"/>
  <c r="DY128" i="1"/>
  <c r="FN125" i="1"/>
  <c r="FO128" i="3" l="1"/>
  <c r="AJ61" i="3"/>
  <c r="AJ62" i="3"/>
  <c r="AJ63" i="3"/>
  <c r="AJ64" i="3"/>
  <c r="AJ65" i="3"/>
  <c r="AJ66" i="3"/>
  <c r="AJ67" i="3"/>
  <c r="EF126" i="1"/>
  <c r="EG126" i="1" s="1"/>
  <c r="FO123" i="1" s="1"/>
  <c r="ED127" i="1"/>
  <c r="EE127" i="1"/>
  <c r="FO127" i="3"/>
  <c r="FN130" i="3"/>
  <c r="DY129" i="2"/>
  <c r="FN126" i="2"/>
  <c r="FO123" i="2"/>
  <c r="DY129" i="1"/>
  <c r="FN126" i="1"/>
  <c r="EC128" i="1"/>
  <c r="FO129" i="3" l="1"/>
  <c r="ED128" i="1"/>
  <c r="EE128" i="1"/>
  <c r="EF127" i="1"/>
  <c r="EG127" i="1" s="1"/>
  <c r="FO124" i="1" s="1"/>
  <c r="FN131" i="3"/>
  <c r="DY130" i="2"/>
  <c r="FN127" i="2"/>
  <c r="FO124" i="2"/>
  <c r="DY130" i="1"/>
  <c r="FN127" i="1"/>
  <c r="EC129" i="1"/>
  <c r="FO130" i="3" l="1"/>
  <c r="AI63" i="2"/>
  <c r="AI62" i="2"/>
  <c r="AI61" i="2"/>
  <c r="AI68" i="2"/>
  <c r="AI67" i="2"/>
  <c r="AI65" i="2"/>
  <c r="AI66" i="2"/>
  <c r="AI64" i="2"/>
  <c r="EF128" i="1"/>
  <c r="EG128" i="1" s="1"/>
  <c r="FO125" i="1" s="1"/>
  <c r="ED129" i="1"/>
  <c r="EE129" i="1"/>
  <c r="EC130" i="1"/>
  <c r="FN132" i="3"/>
  <c r="DY131" i="2"/>
  <c r="FN128" i="2"/>
  <c r="FO125" i="2"/>
  <c r="DY131" i="1"/>
  <c r="FN128" i="1"/>
  <c r="FO131" i="3" l="1"/>
  <c r="FO127" i="2"/>
  <c r="FO126" i="2"/>
  <c r="ED130" i="1"/>
  <c r="EE130" i="1"/>
  <c r="EF129" i="1"/>
  <c r="EG129" i="1" s="1"/>
  <c r="FO126" i="1" s="1"/>
  <c r="EC131" i="1"/>
  <c r="FN133" i="3"/>
  <c r="DY132" i="2"/>
  <c r="FN129" i="2"/>
  <c r="DY132" i="1"/>
  <c r="FN129" i="1"/>
  <c r="FO132" i="3" l="1"/>
  <c r="FO128" i="2"/>
  <c r="ED131" i="1"/>
  <c r="EE131" i="1"/>
  <c r="EF130" i="1"/>
  <c r="EG130" i="1" s="1"/>
  <c r="FO127" i="1" s="1"/>
  <c r="EC132" i="1"/>
  <c r="FN134" i="3"/>
  <c r="DY133" i="2"/>
  <c r="FN130" i="2"/>
  <c r="DY133" i="1"/>
  <c r="FN130" i="1"/>
  <c r="ED132" i="1" l="1"/>
  <c r="EE132" i="1"/>
  <c r="EF131" i="1"/>
  <c r="EG131" i="1" s="1"/>
  <c r="FO128" i="1" s="1"/>
  <c r="EC133" i="1"/>
  <c r="FN135" i="3"/>
  <c r="FO133" i="3"/>
  <c r="DY134" i="2"/>
  <c r="FN131" i="2"/>
  <c r="DY134" i="1"/>
  <c r="FN131" i="1"/>
  <c r="EF132" i="1" l="1"/>
  <c r="EG132" i="1" s="1"/>
  <c r="FO129" i="1" s="1"/>
  <c r="ED133" i="1"/>
  <c r="EE133" i="1"/>
  <c r="FN136" i="3"/>
  <c r="DY135" i="2"/>
  <c r="FN132" i="2"/>
  <c r="FO129" i="2"/>
  <c r="DY135" i="1"/>
  <c r="FN132" i="1"/>
  <c r="EC134" i="1"/>
  <c r="FO130" i="2" l="1"/>
  <c r="ED134" i="1"/>
  <c r="EE134" i="1"/>
  <c r="EF133" i="1"/>
  <c r="EG133" i="1" s="1"/>
  <c r="FO130" i="1" s="1"/>
  <c r="EC135" i="1"/>
  <c r="FN137" i="3"/>
  <c r="FO134" i="3"/>
  <c r="DY136" i="2"/>
  <c r="FN133" i="2"/>
  <c r="DY136" i="1"/>
  <c r="FN133" i="1"/>
  <c r="FO136" i="3" l="1"/>
  <c r="EF134" i="1"/>
  <c r="EG134" i="1" s="1"/>
  <c r="FO131" i="1" s="1"/>
  <c r="ED135" i="1"/>
  <c r="EE135" i="1"/>
  <c r="FO135" i="3"/>
  <c r="FN138" i="3"/>
  <c r="DY137" i="2"/>
  <c r="FN134" i="2"/>
  <c r="FO132" i="2"/>
  <c r="FO131" i="2"/>
  <c r="DY137" i="1"/>
  <c r="FN134" i="1"/>
  <c r="EC136" i="1"/>
  <c r="ED136" i="1" l="1"/>
  <c r="EE136" i="1"/>
  <c r="EF135" i="1"/>
  <c r="EG135" i="1" s="1"/>
  <c r="FO132" i="1" s="1"/>
  <c r="FN139" i="3"/>
  <c r="DY138" i="2"/>
  <c r="FN135" i="2"/>
  <c r="DY138" i="1"/>
  <c r="FN135" i="1"/>
  <c r="EC137" i="1"/>
  <c r="ED137" i="1" l="1"/>
  <c r="EE137" i="1"/>
  <c r="EF136" i="1"/>
  <c r="EG136" i="1" s="1"/>
  <c r="FO133" i="1" s="1"/>
  <c r="EC138" i="1"/>
  <c r="FO138" i="3"/>
  <c r="FO137" i="3"/>
  <c r="FN140" i="3"/>
  <c r="DY139" i="2"/>
  <c r="FN136" i="2"/>
  <c r="FO133" i="2"/>
  <c r="DY139" i="1"/>
  <c r="FN136" i="1"/>
  <c r="ED138" i="1" l="1"/>
  <c r="EE138" i="1"/>
  <c r="EF137" i="1"/>
  <c r="EG137" i="1" s="1"/>
  <c r="FO134" i="1" s="1"/>
  <c r="FO139" i="3"/>
  <c r="FN141" i="3"/>
  <c r="DY140" i="2"/>
  <c r="FN137" i="2"/>
  <c r="FO134" i="2"/>
  <c r="DY140" i="1"/>
  <c r="FN137" i="1"/>
  <c r="EC139" i="1"/>
  <c r="FO135" i="2" l="1"/>
  <c r="ED139" i="1"/>
  <c r="EE139" i="1"/>
  <c r="EF139" i="1" s="1"/>
  <c r="EG139" i="1" s="1"/>
  <c r="EF138" i="1"/>
  <c r="EG138" i="1" s="1"/>
  <c r="FO135" i="1" s="1"/>
  <c r="EC140" i="1"/>
  <c r="FO140" i="3"/>
  <c r="FN142" i="3"/>
  <c r="DY141" i="2"/>
  <c r="FN138" i="2"/>
  <c r="DY141" i="1"/>
  <c r="FN138" i="1"/>
  <c r="FO141" i="3" l="1"/>
  <c r="FO137" i="2"/>
  <c r="FO136" i="2"/>
  <c r="ED140" i="1"/>
  <c r="EE140" i="1"/>
  <c r="FN143" i="3"/>
  <c r="DY142" i="2"/>
  <c r="FN139" i="2"/>
  <c r="DY142" i="1"/>
  <c r="FN139" i="1"/>
  <c r="EC141" i="1"/>
  <c r="FO136" i="1"/>
  <c r="ED141" i="1" l="1"/>
  <c r="EE141" i="1"/>
  <c r="EF140" i="1"/>
  <c r="EG140" i="1" s="1"/>
  <c r="FO137" i="1" s="1"/>
  <c r="FO142" i="3"/>
  <c r="FN144" i="3"/>
  <c r="DY143" i="2"/>
  <c r="FN140" i="2"/>
  <c r="DY143" i="1"/>
  <c r="FN140" i="1"/>
  <c r="EC142" i="1"/>
  <c r="ED142" i="1" l="1"/>
  <c r="EE142" i="1"/>
  <c r="EF141" i="1"/>
  <c r="EG141" i="1" s="1"/>
  <c r="FO138" i="1" s="1"/>
  <c r="FO143" i="3"/>
  <c r="FN145" i="3"/>
  <c r="DY144" i="2"/>
  <c r="FN141" i="2"/>
  <c r="FO138" i="2"/>
  <c r="DY144" i="1"/>
  <c r="FN141" i="1"/>
  <c r="EC143" i="1"/>
  <c r="FO144" i="3" l="1"/>
  <c r="FO139" i="2"/>
  <c r="ED143" i="1"/>
  <c r="EE143" i="1"/>
  <c r="EF142" i="1"/>
  <c r="EG142" i="1" s="1"/>
  <c r="FO139" i="1" s="1"/>
  <c r="EC144" i="1"/>
  <c r="FN146" i="3"/>
  <c r="DY145" i="2"/>
  <c r="FN142" i="2"/>
  <c r="DY145" i="1"/>
  <c r="FN142" i="1"/>
  <c r="FO145" i="3" l="1"/>
  <c r="FO141" i="2"/>
  <c r="FO140" i="2"/>
  <c r="EF143" i="1"/>
  <c r="EG143" i="1" s="1"/>
  <c r="FO140" i="1" s="1"/>
  <c r="ED144" i="1"/>
  <c r="EE144" i="1"/>
  <c r="EC145" i="1"/>
  <c r="FO146" i="3"/>
  <c r="FN147" i="3"/>
  <c r="DY146" i="2"/>
  <c r="FN143" i="2"/>
  <c r="DY146" i="1"/>
  <c r="FN143" i="1"/>
  <c r="ED145" i="1" l="1"/>
  <c r="EE145" i="1"/>
  <c r="EF144" i="1"/>
  <c r="EG144" i="1" s="1"/>
  <c r="FO141" i="1" s="1"/>
  <c r="FN148" i="3"/>
  <c r="DY147" i="2"/>
  <c r="FN144" i="2"/>
  <c r="DY147" i="1"/>
  <c r="FN144" i="1"/>
  <c r="EC146" i="1"/>
  <c r="FO142" i="2" l="1"/>
  <c r="ED146" i="1"/>
  <c r="EE146" i="1"/>
  <c r="EF146" i="1" s="1"/>
  <c r="EG146" i="1" s="1"/>
  <c r="EF145" i="1"/>
  <c r="EG145" i="1" s="1"/>
  <c r="FO142" i="1" s="1"/>
  <c r="EC147" i="1"/>
  <c r="FO147" i="3"/>
  <c r="FN149" i="3"/>
  <c r="DY148" i="2"/>
  <c r="FN145" i="2"/>
  <c r="DY148" i="1"/>
  <c r="FN145" i="1"/>
  <c r="FO148" i="3" l="1"/>
  <c r="FO144" i="2"/>
  <c r="FO143" i="2"/>
  <c r="ED147" i="1"/>
  <c r="EE147" i="1"/>
  <c r="FO143" i="1"/>
  <c r="FN150" i="3"/>
  <c r="DY149" i="2"/>
  <c r="FN146" i="2"/>
  <c r="DY149" i="1"/>
  <c r="FN146" i="1"/>
  <c r="EC148" i="1"/>
  <c r="FO145" i="2" l="1"/>
  <c r="EF147" i="1"/>
  <c r="EG147" i="1" s="1"/>
  <c r="FO144" i="1" s="1"/>
  <c r="ED148" i="1"/>
  <c r="EE148" i="1"/>
  <c r="FO149" i="3"/>
  <c r="FN151" i="3"/>
  <c r="DY150" i="2"/>
  <c r="FN147" i="2"/>
  <c r="DY150" i="1"/>
  <c r="FN147" i="1"/>
  <c r="EC149" i="1"/>
  <c r="FO150" i="3" l="1"/>
  <c r="FO146" i="2"/>
  <c r="ED149" i="1"/>
  <c r="EE149" i="1"/>
  <c r="EF148" i="1"/>
  <c r="EG148" i="1" s="1"/>
  <c r="FO145" i="1" s="1"/>
  <c r="FN152" i="3"/>
  <c r="DY151" i="2"/>
  <c r="FN148" i="2"/>
  <c r="EC151" i="1"/>
  <c r="DY151" i="1"/>
  <c r="FN148" i="1"/>
  <c r="EC150" i="1"/>
  <c r="ED150" i="1" l="1"/>
  <c r="EF150" i="1" s="1"/>
  <c r="EG150" i="1" s="1"/>
  <c r="EE150" i="1"/>
  <c r="ED151" i="1"/>
  <c r="EE151" i="1"/>
  <c r="EF149" i="1"/>
  <c r="EG149" i="1" s="1"/>
  <c r="FO146" i="1" s="1"/>
  <c r="FO151" i="3"/>
  <c r="FN153" i="3"/>
  <c r="DY152" i="2"/>
  <c r="FN149" i="2"/>
  <c r="DY152" i="1"/>
  <c r="FN149" i="1"/>
  <c r="FO152" i="3" l="1"/>
  <c r="EF151" i="1"/>
  <c r="EG151" i="1" s="1"/>
  <c r="FO148" i="1" s="1"/>
  <c r="FN154" i="3"/>
  <c r="DY153" i="2"/>
  <c r="FN150" i="2"/>
  <c r="FO147" i="2"/>
  <c r="FN150" i="1"/>
  <c r="DY153" i="1"/>
  <c r="EC152" i="1"/>
  <c r="FO147" i="1"/>
  <c r="FO153" i="3" l="1"/>
  <c r="FO149" i="2"/>
  <c r="ED152" i="1"/>
  <c r="EE152" i="1"/>
  <c r="FN155" i="3"/>
  <c r="DY154" i="2"/>
  <c r="FN151" i="2"/>
  <c r="FO148" i="2"/>
  <c r="FN151" i="1"/>
  <c r="DY154" i="1"/>
  <c r="EC153" i="1"/>
  <c r="FO154" i="3" l="1"/>
  <c r="FO150" i="2"/>
  <c r="EF152" i="1"/>
  <c r="EG152" i="1" s="1"/>
  <c r="FO149" i="1" s="1"/>
  <c r="ED153" i="1"/>
  <c r="EE153" i="1"/>
  <c r="FN156" i="3"/>
  <c r="DY155" i="2"/>
  <c r="FN152" i="2"/>
  <c r="DY155" i="1"/>
  <c r="FN152" i="1"/>
  <c r="EC154" i="1"/>
  <c r="FO155" i="3" l="1"/>
  <c r="ED154" i="1"/>
  <c r="EE154" i="1"/>
  <c r="EF153" i="1"/>
  <c r="EG153" i="1" s="1"/>
  <c r="FO150" i="1" s="1"/>
  <c r="FN157" i="3"/>
  <c r="FN153" i="2"/>
  <c r="DY156" i="2"/>
  <c r="DY156" i="1"/>
  <c r="FN153" i="1"/>
  <c r="EC155" i="1"/>
  <c r="ED155" i="1" l="1"/>
  <c r="EE155" i="1"/>
  <c r="EF155" i="1" s="1"/>
  <c r="EG155" i="1" s="1"/>
  <c r="EF154" i="1"/>
  <c r="EG154" i="1" s="1"/>
  <c r="FO151" i="1" s="1"/>
  <c r="FO156" i="3"/>
  <c r="FN158" i="3"/>
  <c r="DY157" i="2"/>
  <c r="FN154" i="2"/>
  <c r="FO151" i="2"/>
  <c r="FN154" i="1"/>
  <c r="DY157" i="1"/>
  <c r="EC156" i="1"/>
  <c r="FO157" i="3" l="1"/>
  <c r="ED156" i="1"/>
  <c r="EE156" i="1"/>
  <c r="EC157" i="1"/>
  <c r="FN159" i="3"/>
  <c r="DY158" i="2"/>
  <c r="FN155" i="2"/>
  <c r="FO152" i="2"/>
  <c r="DY158" i="1"/>
  <c r="FN155" i="1"/>
  <c r="FO152" i="1"/>
  <c r="FO158" i="3" l="1"/>
  <c r="ED157" i="1"/>
  <c r="EE157" i="1"/>
  <c r="EF156" i="1"/>
  <c r="EG156" i="1" s="1"/>
  <c r="FO153" i="1" s="1"/>
  <c r="EC158" i="1"/>
  <c r="FN160" i="3"/>
  <c r="DY159" i="2"/>
  <c r="FN156" i="2"/>
  <c r="FO153" i="2"/>
  <c r="DY159" i="1"/>
  <c r="FN156" i="1"/>
  <c r="FO159" i="3" l="1"/>
  <c r="ED158" i="1"/>
  <c r="EE158" i="1"/>
  <c r="EF157" i="1"/>
  <c r="EG157" i="1" s="1"/>
  <c r="FO154" i="1" s="1"/>
  <c r="EC159" i="1"/>
  <c r="FN161" i="3"/>
  <c r="FN157" i="2"/>
  <c r="DY160" i="2"/>
  <c r="FO154" i="2"/>
  <c r="DY160" i="1"/>
  <c r="FN157" i="1"/>
  <c r="FO160" i="3" l="1"/>
  <c r="FO156" i="2"/>
  <c r="FO155" i="2"/>
  <c r="ED159" i="1"/>
  <c r="EE159" i="1"/>
  <c r="EF158" i="1"/>
  <c r="EG158" i="1" s="1"/>
  <c r="FO155" i="1" s="1"/>
  <c r="FN162" i="3"/>
  <c r="DY161" i="2"/>
  <c r="FN158" i="2"/>
  <c r="DY161" i="1"/>
  <c r="EC161" i="1" s="1"/>
  <c r="FN158" i="1"/>
  <c r="EC160" i="1"/>
  <c r="FO157" i="2" l="1"/>
  <c r="ED161" i="1"/>
  <c r="EE161" i="1"/>
  <c r="ED160" i="1"/>
  <c r="EE160" i="1"/>
  <c r="EF159" i="1"/>
  <c r="EG159" i="1" s="1"/>
  <c r="FO156" i="1" s="1"/>
  <c r="FN163" i="3"/>
  <c r="FO161" i="3"/>
  <c r="DY162" i="2"/>
  <c r="FN159" i="2"/>
  <c r="DY162" i="1"/>
  <c r="FN159" i="1"/>
  <c r="FO162" i="3" l="1"/>
  <c r="EF160" i="1"/>
  <c r="EG160" i="1" s="1"/>
  <c r="FO157" i="1" s="1"/>
  <c r="EF161" i="1"/>
  <c r="EG161" i="1" s="1"/>
  <c r="FO158" i="1" s="1"/>
  <c r="FN164" i="3"/>
  <c r="DY163" i="2"/>
  <c r="FN160" i="2"/>
  <c r="DY163" i="1"/>
  <c r="FN160" i="1"/>
  <c r="EC162" i="1"/>
  <c r="FO163" i="3" l="1"/>
  <c r="FO159" i="2"/>
  <c r="ED162" i="1"/>
  <c r="EE162" i="1"/>
  <c r="FN165" i="3"/>
  <c r="DY164" i="2"/>
  <c r="FN161" i="2"/>
  <c r="FO158" i="2"/>
  <c r="DY164" i="1"/>
  <c r="FN161" i="1"/>
  <c r="EC163" i="1"/>
  <c r="FO164" i="3" l="1"/>
  <c r="EF162" i="1"/>
  <c r="EG162" i="1" s="1"/>
  <c r="FO159" i="1" s="1"/>
  <c r="ED163" i="1"/>
  <c r="EE163" i="1"/>
  <c r="FN166" i="3"/>
  <c r="DY165" i="2"/>
  <c r="FN162" i="2"/>
  <c r="DY165" i="1"/>
  <c r="FN162" i="1"/>
  <c r="EC164" i="1"/>
  <c r="FO165" i="3" l="1"/>
  <c r="FO160" i="2"/>
  <c r="FO161" i="2"/>
  <c r="ED164" i="1"/>
  <c r="EE164" i="1"/>
  <c r="EF163" i="1"/>
  <c r="EG163" i="1" s="1"/>
  <c r="FO160" i="1" s="1"/>
  <c r="FN167" i="3"/>
  <c r="DY166" i="2"/>
  <c r="FN163" i="2"/>
  <c r="DY166" i="1"/>
  <c r="FN163" i="1"/>
  <c r="EC165" i="1"/>
  <c r="FO166" i="3" l="1"/>
  <c r="FO162" i="2"/>
  <c r="EF164" i="1"/>
  <c r="EG164" i="1" s="1"/>
  <c r="FO161" i="1" s="1"/>
  <c r="ED165" i="1"/>
  <c r="EE165" i="1"/>
  <c r="EC166" i="1"/>
  <c r="FN168" i="3"/>
  <c r="DY167" i="2"/>
  <c r="FN164" i="2"/>
  <c r="DY167" i="1"/>
  <c r="FN164" i="1"/>
  <c r="FO163" i="2" l="1"/>
  <c r="EF165" i="1"/>
  <c r="EG165" i="1" s="1"/>
  <c r="FO162" i="1" s="1"/>
  <c r="ED166" i="1"/>
  <c r="EE166" i="1"/>
  <c r="FO167" i="3"/>
  <c r="FN169" i="3"/>
  <c r="DY168" i="2"/>
  <c r="FN165" i="2"/>
  <c r="DY168" i="1"/>
  <c r="FN165" i="1"/>
  <c r="EC167" i="1"/>
  <c r="FO164" i="2" l="1"/>
  <c r="ED167" i="1"/>
  <c r="EE167" i="1"/>
  <c r="EF166" i="1"/>
  <c r="EG166" i="1" s="1"/>
  <c r="FO163" i="1" s="1"/>
  <c r="FO168" i="3"/>
  <c r="FN170" i="3"/>
  <c r="DY169" i="2"/>
  <c r="FN166" i="2"/>
  <c r="EC169" i="1"/>
  <c r="DY169" i="1"/>
  <c r="FN166" i="1"/>
  <c r="EC168" i="1"/>
  <c r="FO169" i="3" l="1"/>
  <c r="FO165" i="2"/>
  <c r="EF167" i="1"/>
  <c r="EG167" i="1" s="1"/>
  <c r="FO164" i="1" s="1"/>
  <c r="ED168" i="1"/>
  <c r="EE168" i="1"/>
  <c r="ED169" i="1"/>
  <c r="EF169" i="1" s="1"/>
  <c r="EG169" i="1" s="1"/>
  <c r="EE169" i="1"/>
  <c r="FN171" i="3"/>
  <c r="DY170" i="2"/>
  <c r="FN167" i="2"/>
  <c r="DY170" i="1"/>
  <c r="FN167" i="1"/>
  <c r="FO170" i="3" l="1"/>
  <c r="EF168" i="1"/>
  <c r="EG168" i="1" s="1"/>
  <c r="FO165" i="1" s="1"/>
  <c r="FO166" i="1"/>
  <c r="EC170" i="1"/>
  <c r="FN172" i="3"/>
  <c r="DY171" i="2"/>
  <c r="FN168" i="2"/>
  <c r="DY171" i="1"/>
  <c r="FN168" i="1"/>
  <c r="FO171" i="3" l="1"/>
  <c r="FO166" i="2"/>
  <c r="ED170" i="1"/>
  <c r="EE170" i="1"/>
  <c r="FN173" i="3"/>
  <c r="DY172" i="2"/>
  <c r="FN169" i="2"/>
  <c r="DY172" i="1"/>
  <c r="FN169" i="1"/>
  <c r="EC171" i="1"/>
  <c r="FO172" i="3" l="1"/>
  <c r="FO167" i="2"/>
  <c r="ED171" i="1"/>
  <c r="EE171" i="1"/>
  <c r="EF171" i="1" s="1"/>
  <c r="EG171" i="1" s="1"/>
  <c r="EF170" i="1"/>
  <c r="EG170" i="1" s="1"/>
  <c r="FO167" i="1" s="1"/>
  <c r="EC172" i="1"/>
  <c r="FN174" i="3"/>
  <c r="DY173" i="2"/>
  <c r="FN170" i="2"/>
  <c r="DY173" i="1"/>
  <c r="FN170" i="1"/>
  <c r="FO173" i="3" l="1"/>
  <c r="ED172" i="1"/>
  <c r="EE172" i="1"/>
  <c r="EC173" i="1"/>
  <c r="FN175" i="3"/>
  <c r="DY174" i="2"/>
  <c r="FN171" i="2"/>
  <c r="FO168" i="2"/>
  <c r="DY174" i="1"/>
  <c r="FN171" i="1"/>
  <c r="FO168" i="1"/>
  <c r="FO174" i="3" l="1"/>
  <c r="ED173" i="1"/>
  <c r="EE173" i="1"/>
  <c r="EF172" i="1"/>
  <c r="EG172" i="1" s="1"/>
  <c r="FO169" i="1" s="1"/>
  <c r="FN176" i="3"/>
  <c r="DY175" i="2"/>
  <c r="FN172" i="2"/>
  <c r="FO169" i="2"/>
  <c r="DY175" i="1"/>
  <c r="FN172" i="1"/>
  <c r="EC174" i="1"/>
  <c r="FO175" i="3" l="1"/>
  <c r="FO170" i="2"/>
  <c r="ED174" i="1"/>
  <c r="EE174" i="1"/>
  <c r="EF173" i="1"/>
  <c r="EG173" i="1" s="1"/>
  <c r="FO170" i="1" s="1"/>
  <c r="EC175" i="1"/>
  <c r="FN177" i="3"/>
  <c r="DY176" i="2"/>
  <c r="FN173" i="2"/>
  <c r="DY176" i="1"/>
  <c r="FN173" i="1"/>
  <c r="FO171" i="2" l="1"/>
  <c r="ED175" i="1"/>
  <c r="EE175" i="1"/>
  <c r="EF174" i="1"/>
  <c r="EG174" i="1" s="1"/>
  <c r="FO171" i="1" s="1"/>
  <c r="EC176" i="1"/>
  <c r="FO176" i="3"/>
  <c r="FN178" i="3"/>
  <c r="DY177" i="2"/>
  <c r="FN174" i="2"/>
  <c r="DY177" i="1"/>
  <c r="FN174" i="1"/>
  <c r="FO173" i="2" l="1"/>
  <c r="FO172" i="2"/>
  <c r="EF175" i="1"/>
  <c r="EG175" i="1" s="1"/>
  <c r="FO172" i="1" s="1"/>
  <c r="ED176" i="1"/>
  <c r="EE176" i="1"/>
  <c r="EC177" i="1"/>
  <c r="FO177" i="3"/>
  <c r="FN179" i="3"/>
  <c r="DY178" i="2"/>
  <c r="FN175" i="2"/>
  <c r="DY178" i="1"/>
  <c r="FN175" i="1"/>
  <c r="FO178" i="3" l="1"/>
  <c r="FO174" i="2"/>
  <c r="EF176" i="1"/>
  <c r="EG176" i="1" s="1"/>
  <c r="FO173" i="1" s="1"/>
  <c r="ED177" i="1"/>
  <c r="EE177" i="1"/>
  <c r="FN180" i="3"/>
  <c r="DY179" i="2"/>
  <c r="FN176" i="2"/>
  <c r="DY179" i="1"/>
  <c r="EC179" i="1" s="1"/>
  <c r="FN176" i="1"/>
  <c r="EC178" i="1"/>
  <c r="EF177" i="1" l="1"/>
  <c r="EG177" i="1" s="1"/>
  <c r="FO174" i="1" s="1"/>
  <c r="ED179" i="1"/>
  <c r="EE179" i="1"/>
  <c r="EF179" i="1" s="1"/>
  <c r="EG179" i="1" s="1"/>
  <c r="ED178" i="1"/>
  <c r="EE178" i="1"/>
  <c r="FO179" i="3"/>
  <c r="FN181" i="3"/>
  <c r="DY180" i="2"/>
  <c r="FN177" i="2"/>
  <c r="DY180" i="1"/>
  <c r="FN177" i="1"/>
  <c r="FO180" i="3" l="1"/>
  <c r="EF178" i="1"/>
  <c r="EG178" i="1" s="1"/>
  <c r="FO175" i="1" s="1"/>
  <c r="FO176" i="1"/>
  <c r="FN182" i="3"/>
  <c r="DY181" i="2"/>
  <c r="FN178" i="2"/>
  <c r="FO175" i="2"/>
  <c r="DY181" i="1"/>
  <c r="FN178" i="1"/>
  <c r="EC180" i="1"/>
  <c r="FO181" i="3" l="1"/>
  <c r="FO176" i="2"/>
  <c r="ED180" i="1"/>
  <c r="EE180" i="1"/>
  <c r="FN183" i="3"/>
  <c r="DY182" i="2"/>
  <c r="FN179" i="2"/>
  <c r="DY182" i="1"/>
  <c r="EC182" i="1" s="1"/>
  <c r="FN179" i="1"/>
  <c r="EC181" i="1"/>
  <c r="FO182" i="3" l="1"/>
  <c r="ED181" i="1"/>
  <c r="EE181" i="1"/>
  <c r="ED182" i="1"/>
  <c r="EE182" i="1"/>
  <c r="EF180" i="1"/>
  <c r="EG180" i="1" s="1"/>
  <c r="FO177" i="1" s="1"/>
  <c r="FN184" i="3"/>
  <c r="DY183" i="2"/>
  <c r="FN180" i="2"/>
  <c r="FO177" i="2"/>
  <c r="DY183" i="1"/>
  <c r="FN180" i="1"/>
  <c r="FO183" i="3" l="1"/>
  <c r="FO178" i="2"/>
  <c r="EF181" i="1"/>
  <c r="EG181" i="1" s="1"/>
  <c r="FO178" i="1" s="1"/>
  <c r="EF182" i="1"/>
  <c r="EG182" i="1" s="1"/>
  <c r="FO179" i="1" s="1"/>
  <c r="EC183" i="1"/>
  <c r="FN185" i="3"/>
  <c r="DY184" i="2"/>
  <c r="FN181" i="2"/>
  <c r="DY184" i="1"/>
  <c r="FN181" i="1"/>
  <c r="FO184" i="3" l="1"/>
  <c r="FO179" i="2"/>
  <c r="ED183" i="1"/>
  <c r="EE183" i="1"/>
  <c r="FN186" i="3"/>
  <c r="DY185" i="2"/>
  <c r="FN182" i="2"/>
  <c r="DY185" i="1"/>
  <c r="FN182" i="1"/>
  <c r="EC184" i="1"/>
  <c r="FO181" i="2" l="1"/>
  <c r="ED184" i="1"/>
  <c r="EE184" i="1"/>
  <c r="EF183" i="1"/>
  <c r="EG183" i="1" s="1"/>
  <c r="FO180" i="1" s="1"/>
  <c r="FO185" i="3"/>
  <c r="FN187" i="3"/>
  <c r="DY186" i="2"/>
  <c r="FN183" i="2"/>
  <c r="FO180" i="2"/>
  <c r="DY186" i="1"/>
  <c r="FN183" i="1"/>
  <c r="EC185" i="1"/>
  <c r="FO182" i="2" l="1"/>
  <c r="EF184" i="1"/>
  <c r="EG184" i="1" s="1"/>
  <c r="ED185" i="1"/>
  <c r="EF185" i="1" s="1"/>
  <c r="EG185" i="1" s="1"/>
  <c r="EE185" i="1"/>
  <c r="FO181" i="1"/>
  <c r="FO186" i="3"/>
  <c r="FN188" i="3"/>
  <c r="DY187" i="2"/>
  <c r="FN184" i="2"/>
  <c r="DY187" i="1"/>
  <c r="FN184" i="1"/>
  <c r="EC186" i="1"/>
  <c r="ED186" i="1" l="1"/>
  <c r="EE186" i="1"/>
  <c r="FO182" i="1"/>
  <c r="FO187" i="3"/>
  <c r="FN189" i="3"/>
  <c r="DY188" i="2"/>
  <c r="FN185" i="2"/>
  <c r="DY188" i="1"/>
  <c r="FN185" i="1"/>
  <c r="EC187" i="1"/>
  <c r="FO184" i="2" l="1"/>
  <c r="FO183" i="2"/>
  <c r="ED187" i="1"/>
  <c r="EE187" i="1"/>
  <c r="EF187" i="1" s="1"/>
  <c r="EG187" i="1" s="1"/>
  <c r="EF186" i="1"/>
  <c r="EG186" i="1" s="1"/>
  <c r="FO183" i="1" s="1"/>
  <c r="EC188" i="1"/>
  <c r="FN190" i="3"/>
  <c r="DY189" i="2"/>
  <c r="FN186" i="2"/>
  <c r="DY189" i="1"/>
  <c r="FN186" i="1"/>
  <c r="FO189" i="3" l="1"/>
  <c r="FO185" i="2"/>
  <c r="ED188" i="1"/>
  <c r="EE188" i="1"/>
  <c r="EC189" i="1"/>
  <c r="FO184" i="1"/>
  <c r="FN191" i="3"/>
  <c r="FO188" i="3"/>
  <c r="DY190" i="2"/>
  <c r="FN187" i="2"/>
  <c r="DY190" i="1"/>
  <c r="FN187" i="1"/>
  <c r="FO190" i="3" l="1"/>
  <c r="EF188" i="1"/>
  <c r="EG188" i="1" s="1"/>
  <c r="FO185" i="1" s="1"/>
  <c r="ED189" i="1"/>
  <c r="EE189" i="1"/>
  <c r="EC190" i="1"/>
  <c r="FN192" i="3"/>
  <c r="DY191" i="2"/>
  <c r="FN188" i="2"/>
  <c r="DY191" i="1"/>
  <c r="FN188" i="1"/>
  <c r="AJ69" i="3" l="1"/>
  <c r="AJ68" i="3"/>
  <c r="FO191" i="3"/>
  <c r="AJ70" i="3"/>
  <c r="AJ71" i="3"/>
  <c r="FO186" i="2"/>
  <c r="ED190" i="1"/>
  <c r="EE190" i="1"/>
  <c r="EF189" i="1"/>
  <c r="EG189" i="1" s="1"/>
  <c r="FO186" i="1" s="1"/>
  <c r="FN193" i="3"/>
  <c r="DY192" i="2"/>
  <c r="FN189" i="2"/>
  <c r="AI69" i="2" s="1"/>
  <c r="FO187" i="2"/>
  <c r="DY192" i="1"/>
  <c r="FN189" i="1"/>
  <c r="EC191" i="1"/>
  <c r="FO192" i="3" l="1"/>
  <c r="AI70" i="2"/>
  <c r="AI71" i="2"/>
  <c r="AI72" i="2"/>
  <c r="ED191" i="1"/>
  <c r="EE191" i="1"/>
  <c r="EF190" i="1"/>
  <c r="EG190" i="1" s="1"/>
  <c r="FO187" i="1" s="1"/>
  <c r="FN194" i="3"/>
  <c r="DY193" i="2"/>
  <c r="FN190" i="2"/>
  <c r="DY193" i="1"/>
  <c r="FN190" i="1"/>
  <c r="EC192" i="1"/>
  <c r="ED192" i="1" l="1"/>
  <c r="EE192" i="1"/>
  <c r="EF191" i="1"/>
  <c r="EG191" i="1" s="1"/>
  <c r="FO188" i="1" s="1"/>
  <c r="EC193" i="1"/>
  <c r="FO193" i="3"/>
  <c r="FN195" i="3"/>
  <c r="DY194" i="2"/>
  <c r="FN191" i="2"/>
  <c r="FO188" i="2"/>
  <c r="FN191" i="1"/>
  <c r="DY194" i="1"/>
  <c r="FO194" i="3" l="1"/>
  <c r="FO189" i="2"/>
  <c r="ED193" i="1"/>
  <c r="EE193" i="1"/>
  <c r="EF192" i="1"/>
  <c r="EG192" i="1" s="1"/>
  <c r="FO189" i="1" s="1"/>
  <c r="FN196" i="3"/>
  <c r="DY195" i="2"/>
  <c r="FN192" i="2"/>
  <c r="DY195" i="1"/>
  <c r="FN192" i="1"/>
  <c r="EC194" i="1"/>
  <c r="FO195" i="3" l="1"/>
  <c r="ED194" i="1"/>
  <c r="EE194" i="1"/>
  <c r="EF193" i="1"/>
  <c r="EG193" i="1" s="1"/>
  <c r="FO190" i="1" s="1"/>
  <c r="FN197" i="3"/>
  <c r="DY196" i="2"/>
  <c r="FN193" i="2"/>
  <c r="FO190" i="2"/>
  <c r="DY196" i="1"/>
  <c r="FN193" i="1"/>
  <c r="EC195" i="1"/>
  <c r="FO196" i="3" l="1"/>
  <c r="ED195" i="1"/>
  <c r="EE195" i="1"/>
  <c r="EF194" i="1"/>
  <c r="EG194" i="1" s="1"/>
  <c r="FO191" i="1" s="1"/>
  <c r="FN198" i="3"/>
  <c r="DY197" i="2"/>
  <c r="FN194" i="2"/>
  <c r="FO191" i="2"/>
  <c r="FN194" i="1"/>
  <c r="DY197" i="1"/>
  <c r="EC196" i="1"/>
  <c r="FO197" i="3" l="1"/>
  <c r="FO192" i="2"/>
  <c r="EF195" i="1"/>
  <c r="EG195" i="1" s="1"/>
  <c r="FO192" i="1" s="1"/>
  <c r="ED196" i="1"/>
  <c r="EE196" i="1"/>
  <c r="EC197" i="1"/>
  <c r="FN199" i="3"/>
  <c r="DY198" i="2"/>
  <c r="FN195" i="2"/>
  <c r="FN195" i="1"/>
  <c r="DY198" i="1"/>
  <c r="FO198" i="3" l="1"/>
  <c r="EF196" i="1"/>
  <c r="EG196" i="1" s="1"/>
  <c r="FO193" i="1" s="1"/>
  <c r="ED197" i="1"/>
  <c r="EE197" i="1"/>
  <c r="FN200" i="3"/>
  <c r="DY199" i="2"/>
  <c r="FN196" i="2"/>
  <c r="FO193" i="2"/>
  <c r="DY199" i="1"/>
  <c r="FN196" i="1"/>
  <c r="EC198" i="1"/>
  <c r="FO199" i="3" l="1"/>
  <c r="EF197" i="1"/>
  <c r="EG197" i="1" s="1"/>
  <c r="FO194" i="1" s="1"/>
  <c r="ED198" i="1"/>
  <c r="EE198" i="1"/>
  <c r="FO200" i="3"/>
  <c r="FN201" i="3"/>
  <c r="DY200" i="2"/>
  <c r="FN197" i="2"/>
  <c r="FO194" i="2"/>
  <c r="DY200" i="1"/>
  <c r="FN197" i="1"/>
  <c r="EC199" i="1"/>
  <c r="FO196" i="2" l="1"/>
  <c r="FO195" i="2"/>
  <c r="EF198" i="1"/>
  <c r="EG198" i="1" s="1"/>
  <c r="FO195" i="1" s="1"/>
  <c r="ED199" i="1"/>
  <c r="EE199" i="1"/>
  <c r="EC200" i="1"/>
  <c r="FN202" i="3"/>
  <c r="DY201" i="2"/>
  <c r="FN198" i="2"/>
  <c r="FN198" i="1"/>
  <c r="DY201" i="1"/>
  <c r="FO201" i="3" l="1"/>
  <c r="ED200" i="1"/>
  <c r="EE200" i="1"/>
  <c r="EF199" i="1"/>
  <c r="EG199" i="1" s="1"/>
  <c r="FO196" i="1" s="1"/>
  <c r="FN203" i="3"/>
  <c r="DY202" i="2"/>
  <c r="FN199" i="2"/>
  <c r="DY202" i="1"/>
  <c r="FN199" i="1"/>
  <c r="EC201" i="1"/>
  <c r="FO202" i="3" l="1"/>
  <c r="FO198" i="2"/>
  <c r="ED201" i="1"/>
  <c r="EE201" i="1"/>
  <c r="EF200" i="1"/>
  <c r="EG200" i="1" s="1"/>
  <c r="FO197" i="1" s="1"/>
  <c r="EC202" i="1"/>
  <c r="FN204" i="3"/>
  <c r="DY203" i="2"/>
  <c r="FN200" i="2"/>
  <c r="FO197" i="2"/>
  <c r="DY203" i="1"/>
  <c r="FN200" i="1"/>
  <c r="EF201" i="1" l="1"/>
  <c r="EG201" i="1" s="1"/>
  <c r="FO198" i="1" s="1"/>
  <c r="ED202" i="1"/>
  <c r="EE202" i="1"/>
  <c r="FN205" i="3"/>
  <c r="DY204" i="2"/>
  <c r="FN201" i="2"/>
  <c r="DY204" i="1"/>
  <c r="FN201" i="1"/>
  <c r="EC203" i="1"/>
  <c r="FO204" i="3" l="1"/>
  <c r="ED203" i="1"/>
  <c r="EE203" i="1"/>
  <c r="EF203" i="1" s="1"/>
  <c r="EG203" i="1" s="1"/>
  <c r="EF202" i="1"/>
  <c r="EG202" i="1" s="1"/>
  <c r="FO199" i="1" s="1"/>
  <c r="FN206" i="3"/>
  <c r="FO203" i="3"/>
  <c r="DY205" i="2"/>
  <c r="FN202" i="2"/>
  <c r="FO199" i="2"/>
  <c r="DY205" i="1"/>
  <c r="FN202" i="1"/>
  <c r="EC204" i="1"/>
  <c r="FO205" i="3" l="1"/>
  <c r="ED204" i="1"/>
  <c r="EE204" i="1"/>
  <c r="FO200" i="1"/>
  <c r="FN207" i="3"/>
  <c r="DY206" i="2"/>
  <c r="FN203" i="2"/>
  <c r="FO200" i="2"/>
  <c r="FN203" i="1"/>
  <c r="DY206" i="1"/>
  <c r="EC205" i="1"/>
  <c r="FO206" i="3" l="1"/>
  <c r="ED205" i="1"/>
  <c r="EE205" i="1"/>
  <c r="EF204" i="1"/>
  <c r="EG204" i="1" s="1"/>
  <c r="FO201" i="1" s="1"/>
  <c r="EC206" i="1"/>
  <c r="FN208" i="3"/>
  <c r="DY207" i="2"/>
  <c r="FN204" i="2"/>
  <c r="FO201" i="2"/>
  <c r="DY207" i="1"/>
  <c r="FN204" i="1"/>
  <c r="FO202" i="2" l="1"/>
  <c r="ED206" i="1"/>
  <c r="EE206" i="1"/>
  <c r="EF205" i="1"/>
  <c r="EG205" i="1" s="1"/>
  <c r="FO202" i="1" s="1"/>
  <c r="FO207" i="3"/>
  <c r="FN209" i="3"/>
  <c r="DY208" i="2"/>
  <c r="FN205" i="2"/>
  <c r="DY208" i="1"/>
  <c r="FN205" i="1"/>
  <c r="EC207" i="1"/>
  <c r="FO203" i="2" l="1"/>
  <c r="ED207" i="1"/>
  <c r="EE207" i="1"/>
  <c r="EF206" i="1"/>
  <c r="EG206" i="1" s="1"/>
  <c r="FO203" i="1" s="1"/>
  <c r="EC208" i="1"/>
  <c r="FO208" i="3"/>
  <c r="FN210" i="3"/>
  <c r="DY209" i="2"/>
  <c r="FN206" i="2"/>
  <c r="DY209" i="1"/>
  <c r="FN206" i="1"/>
  <c r="FO204" i="2" l="1"/>
  <c r="ED208" i="1"/>
  <c r="EE208" i="1"/>
  <c r="EF207" i="1"/>
  <c r="EG207" i="1" s="1"/>
  <c r="FO204" i="1" s="1"/>
  <c r="FO209" i="3"/>
  <c r="FN211" i="3"/>
  <c r="DY210" i="2"/>
  <c r="FN207" i="2"/>
  <c r="DY210" i="1"/>
  <c r="FN207" i="1"/>
  <c r="EC209" i="1"/>
  <c r="FO210" i="3" l="1"/>
  <c r="FO206" i="2"/>
  <c r="FO205" i="2"/>
  <c r="ED209" i="1"/>
  <c r="EE209" i="1"/>
  <c r="EF208" i="1"/>
  <c r="EG208" i="1" s="1"/>
  <c r="FO205" i="1" s="1"/>
  <c r="FN212" i="3"/>
  <c r="DY211" i="2"/>
  <c r="FN208" i="2"/>
  <c r="FN208" i="1"/>
  <c r="DY211" i="1"/>
  <c r="EC210" i="1"/>
  <c r="FO211" i="3" l="1"/>
  <c r="EF209" i="1"/>
  <c r="EG209" i="1" s="1"/>
  <c r="FO206" i="1" s="1"/>
  <c r="ED210" i="1"/>
  <c r="EE210" i="1"/>
  <c r="EF210" i="1" s="1"/>
  <c r="EG210" i="1" s="1"/>
  <c r="FN213" i="3"/>
  <c r="DY212" i="2"/>
  <c r="FN209" i="2"/>
  <c r="DY212" i="1"/>
  <c r="FN209" i="1"/>
  <c r="EC211" i="1"/>
  <c r="ED211" i="1" l="1"/>
  <c r="EE211" i="1"/>
  <c r="FO207" i="1"/>
  <c r="FO212" i="3"/>
  <c r="FN214" i="3"/>
  <c r="DY213" i="2"/>
  <c r="FN210" i="2"/>
  <c r="FO207" i="2"/>
  <c r="DY213" i="1"/>
  <c r="FN210" i="1"/>
  <c r="EC212" i="1"/>
  <c r="FO213" i="3" l="1"/>
  <c r="FO208" i="2"/>
  <c r="EF211" i="1"/>
  <c r="EG211" i="1" s="1"/>
  <c r="FO208" i="1" s="1"/>
  <c r="ED212" i="1"/>
  <c r="EE212" i="1"/>
  <c r="EC213" i="1"/>
  <c r="FN215" i="3"/>
  <c r="DY214" i="2"/>
  <c r="FN211" i="2"/>
  <c r="DY214" i="1"/>
  <c r="FN211" i="1"/>
  <c r="FO214" i="3" l="1"/>
  <c r="FO210" i="2"/>
  <c r="EF212" i="1"/>
  <c r="EG212" i="1" s="1"/>
  <c r="ED213" i="1"/>
  <c r="EE213" i="1"/>
  <c r="FN216" i="3"/>
  <c r="DY215" i="2"/>
  <c r="FN212" i="2"/>
  <c r="FO209" i="2"/>
  <c r="DY215" i="1"/>
  <c r="FN212" i="1"/>
  <c r="EC214" i="1"/>
  <c r="FO209" i="1"/>
  <c r="ED214" i="1" l="1"/>
  <c r="EE214" i="1"/>
  <c r="EF213" i="1"/>
  <c r="EG213" i="1" s="1"/>
  <c r="FO210" i="1" s="1"/>
  <c r="FN217" i="3"/>
  <c r="FO215" i="3"/>
  <c r="DY216" i="2"/>
  <c r="FN213" i="2"/>
  <c r="FO211" i="2"/>
  <c r="DY216" i="1"/>
  <c r="FN213" i="1"/>
  <c r="EC215" i="1"/>
  <c r="FO216" i="3" l="1"/>
  <c r="ED215" i="1"/>
  <c r="EE215" i="1"/>
  <c r="EF214" i="1"/>
  <c r="EG214" i="1" s="1"/>
  <c r="FO211" i="1" s="1"/>
  <c r="EC216" i="1"/>
  <c r="FN218" i="3"/>
  <c r="DY217" i="2"/>
  <c r="FN214" i="2"/>
  <c r="DY217" i="1"/>
  <c r="FN214" i="1"/>
  <c r="FO217" i="3" l="1"/>
  <c r="ED216" i="1"/>
  <c r="EE216" i="1"/>
  <c r="EF215" i="1"/>
  <c r="EG215" i="1" s="1"/>
  <c r="FO212" i="1" s="1"/>
  <c r="FN219" i="3"/>
  <c r="DY218" i="2"/>
  <c r="FN215" i="2"/>
  <c r="FO212" i="2"/>
  <c r="DY218" i="1"/>
  <c r="FN215" i="1"/>
  <c r="EC217" i="1"/>
  <c r="FO218" i="3" l="1"/>
  <c r="FO214" i="2"/>
  <c r="FO213" i="2"/>
  <c r="ED217" i="1"/>
  <c r="EE217" i="1"/>
  <c r="EF216" i="1"/>
  <c r="EG216" i="1" s="1"/>
  <c r="FO213" i="1" s="1"/>
  <c r="FN220" i="3"/>
  <c r="DY219" i="2"/>
  <c r="FN216" i="2"/>
  <c r="DY219" i="1"/>
  <c r="FN216" i="1"/>
  <c r="EC218" i="1"/>
  <c r="FO219" i="3" l="1"/>
  <c r="EF217" i="1"/>
  <c r="EG217" i="1" s="1"/>
  <c r="FO214" i="1" s="1"/>
  <c r="ED218" i="1"/>
  <c r="EE218" i="1"/>
  <c r="FN221" i="3"/>
  <c r="DY220" i="2"/>
  <c r="FN217" i="2"/>
  <c r="DY220" i="1"/>
  <c r="EC220" i="1" s="1"/>
  <c r="FN217" i="1"/>
  <c r="EC219" i="1"/>
  <c r="FO220" i="3" l="1"/>
  <c r="ED220" i="1"/>
  <c r="EE220" i="1"/>
  <c r="ED219" i="1"/>
  <c r="EE219" i="1"/>
  <c r="EF218" i="1"/>
  <c r="EG218" i="1" s="1"/>
  <c r="FO215" i="1" s="1"/>
  <c r="FN222" i="3"/>
  <c r="DY221" i="2"/>
  <c r="FN218" i="2"/>
  <c r="FO215" i="2"/>
  <c r="DY221" i="1"/>
  <c r="FN218" i="1"/>
  <c r="FO221" i="3" l="1"/>
  <c r="FO217" i="2"/>
  <c r="EF219" i="1"/>
  <c r="EG219" i="1" s="1"/>
  <c r="FO216" i="1" s="1"/>
  <c r="EF220" i="1"/>
  <c r="EG220" i="1" s="1"/>
  <c r="FO217" i="1" s="1"/>
  <c r="EC221" i="1"/>
  <c r="FN223" i="3"/>
  <c r="DY222" i="2"/>
  <c r="FN219" i="2"/>
  <c r="FO216" i="2"/>
  <c r="DY222" i="1"/>
  <c r="FN219" i="1"/>
  <c r="AJ73" i="3" l="1"/>
  <c r="AJ72" i="3"/>
  <c r="FO218" i="2"/>
  <c r="ED221" i="1"/>
  <c r="EE221" i="1"/>
  <c r="FO222" i="3"/>
  <c r="FN224" i="3"/>
  <c r="DY223" i="2"/>
  <c r="FN220" i="2"/>
  <c r="AI73" i="2" s="1"/>
  <c r="DY223" i="1"/>
  <c r="FN220" i="1"/>
  <c r="EC222" i="1"/>
  <c r="FO223" i="3" l="1"/>
  <c r="AI74" i="2"/>
  <c r="ED222" i="1"/>
  <c r="EE222" i="1"/>
  <c r="EF221" i="1"/>
  <c r="EG221" i="1" s="1"/>
  <c r="FO218" i="1" s="1"/>
  <c r="FN225" i="3"/>
  <c r="DY224" i="2"/>
  <c r="FN221" i="2"/>
  <c r="DY224" i="1"/>
  <c r="FN221" i="1"/>
  <c r="EC223" i="1"/>
  <c r="FO224" i="3" l="1"/>
  <c r="FO219" i="2"/>
  <c r="AI75" i="2" s="1"/>
  <c r="ED223" i="1"/>
  <c r="EE223" i="1"/>
  <c r="EF222" i="1"/>
  <c r="EG222" i="1" s="1"/>
  <c r="FO219" i="1" s="1"/>
  <c r="FO225" i="3"/>
  <c r="FN226" i="3"/>
  <c r="DY225" i="2"/>
  <c r="FN222" i="2"/>
  <c r="DY225" i="1"/>
  <c r="FN222" i="1"/>
  <c r="EC224" i="1"/>
  <c r="FO221" i="2" l="1"/>
  <c r="EF223" i="1"/>
  <c r="EG223" i="1" s="1"/>
  <c r="FO220" i="1" s="1"/>
  <c r="ED224" i="1"/>
  <c r="EE224" i="1"/>
  <c r="FN227" i="3"/>
  <c r="DY226" i="2"/>
  <c r="FN223" i="2"/>
  <c r="FO220" i="2"/>
  <c r="DY226" i="1"/>
  <c r="FN223" i="1"/>
  <c r="EC225" i="1"/>
  <c r="FO226" i="3" l="1"/>
  <c r="ED225" i="1"/>
  <c r="EE225" i="1"/>
  <c r="EF224" i="1"/>
  <c r="EG224" i="1" s="1"/>
  <c r="FO221" i="1" s="1"/>
  <c r="FN228" i="3"/>
  <c r="DY227" i="2"/>
  <c r="FN224" i="2"/>
  <c r="DY227" i="1"/>
  <c r="FN224" i="1"/>
  <c r="EC226" i="1"/>
  <c r="FO222" i="2" l="1"/>
  <c r="FO223" i="2"/>
  <c r="ED226" i="1"/>
  <c r="EE226" i="1"/>
  <c r="EF225" i="1"/>
  <c r="EG225" i="1" s="1"/>
  <c r="FO222" i="1" s="1"/>
  <c r="EC227" i="1"/>
  <c r="FO227" i="3"/>
  <c r="FN229" i="3"/>
  <c r="DY228" i="2"/>
  <c r="FN225" i="2"/>
  <c r="DY228" i="1"/>
  <c r="FN225" i="1"/>
  <c r="ED227" i="1" l="1"/>
  <c r="EE227" i="1"/>
  <c r="EF226" i="1"/>
  <c r="EG226" i="1" s="1"/>
  <c r="FO223" i="1" s="1"/>
  <c r="FN230" i="3"/>
  <c r="DY229" i="2"/>
  <c r="FN226" i="2"/>
  <c r="DY229" i="1"/>
  <c r="FN226" i="1"/>
  <c r="EC228" i="1"/>
  <c r="FO228" i="3" l="1"/>
  <c r="FO229" i="3"/>
  <c r="ED228" i="1"/>
  <c r="EE228" i="1"/>
  <c r="EF227" i="1"/>
  <c r="EG227" i="1" s="1"/>
  <c r="FO224" i="1" s="1"/>
  <c r="FN231" i="3"/>
  <c r="DY230" i="2"/>
  <c r="FN227" i="2"/>
  <c r="FO224" i="2"/>
  <c r="DY230" i="1"/>
  <c r="FN227" i="1"/>
  <c r="EC229" i="1"/>
  <c r="FO230" i="3" l="1"/>
  <c r="FO226" i="2"/>
  <c r="FO225" i="2"/>
  <c r="EF228" i="1"/>
  <c r="EG228" i="1" s="1"/>
  <c r="FO225" i="1" s="1"/>
  <c r="ED229" i="1"/>
  <c r="EE229" i="1"/>
  <c r="FN232" i="3"/>
  <c r="DY231" i="2"/>
  <c r="FN228" i="2"/>
  <c r="DY231" i="1"/>
  <c r="FN228" i="1"/>
  <c r="EC230" i="1"/>
  <c r="FO231" i="3" l="1"/>
  <c r="EF229" i="1"/>
  <c r="EG229" i="1" s="1"/>
  <c r="FO226" i="1" s="1"/>
  <c r="ED230" i="1"/>
  <c r="EE230" i="1"/>
  <c r="FN233" i="3"/>
  <c r="DY232" i="2"/>
  <c r="FN229" i="2"/>
  <c r="DY232" i="1"/>
  <c r="FN229" i="1"/>
  <c r="EC231" i="1"/>
  <c r="FO232" i="3" l="1"/>
  <c r="FO228" i="2"/>
  <c r="EF230" i="1"/>
  <c r="EG230" i="1" s="1"/>
  <c r="FO227" i="1" s="1"/>
  <c r="ED231" i="1"/>
  <c r="EE231" i="1"/>
  <c r="FN234" i="3"/>
  <c r="DY233" i="2"/>
  <c r="FN230" i="2"/>
  <c r="FO227" i="2"/>
  <c r="DY233" i="1"/>
  <c r="FN230" i="1"/>
  <c r="EC232" i="1"/>
  <c r="FO233" i="3" l="1"/>
  <c r="ED232" i="1"/>
  <c r="EE232" i="1"/>
  <c r="EF231" i="1"/>
  <c r="EG231" i="1" s="1"/>
  <c r="FO228" i="1" s="1"/>
  <c r="FN235" i="3"/>
  <c r="DY234" i="2"/>
  <c r="FN231" i="2"/>
  <c r="DY234" i="1"/>
  <c r="FN231" i="1"/>
  <c r="EC233" i="1"/>
  <c r="FO234" i="3" l="1"/>
  <c r="FO230" i="2"/>
  <c r="FO229" i="2"/>
  <c r="ED233" i="1"/>
  <c r="EE233" i="1"/>
  <c r="EF232" i="1"/>
  <c r="EG232" i="1" s="1"/>
  <c r="FO229" i="1" s="1"/>
  <c r="EC234" i="1"/>
  <c r="FN236" i="3"/>
  <c r="DY235" i="2"/>
  <c r="FN232" i="2"/>
  <c r="DY235" i="1"/>
  <c r="FN232" i="1"/>
  <c r="FO235" i="3" l="1"/>
  <c r="FO231" i="2"/>
  <c r="ED234" i="1"/>
  <c r="EE234" i="1"/>
  <c r="EF234" i="1" s="1"/>
  <c r="EG234" i="1" s="1"/>
  <c r="FO231" i="1" s="1"/>
  <c r="EF233" i="1"/>
  <c r="EG233" i="1" s="1"/>
  <c r="FO230" i="1" s="1"/>
  <c r="FN237" i="3"/>
  <c r="DY236" i="2"/>
  <c r="FN233" i="2"/>
  <c r="DY236" i="1"/>
  <c r="FN233" i="1"/>
  <c r="EC235" i="1"/>
  <c r="ED235" i="1" l="1"/>
  <c r="EE235" i="1"/>
  <c r="EF235" i="1" s="1"/>
  <c r="EG235" i="1" s="1"/>
  <c r="FO236" i="3"/>
  <c r="FN238" i="3"/>
  <c r="DY237" i="2"/>
  <c r="FN234" i="2"/>
  <c r="DY237" i="1"/>
  <c r="FN234" i="1"/>
  <c r="EC236" i="1"/>
  <c r="FO237" i="3" l="1"/>
  <c r="FO233" i="2"/>
  <c r="FO232" i="2"/>
  <c r="ED236" i="1"/>
  <c r="EE236" i="1"/>
  <c r="FN239" i="3"/>
  <c r="DY238" i="2"/>
  <c r="FN235" i="2"/>
  <c r="AI76" i="2" s="1"/>
  <c r="AI77" i="2" s="1"/>
  <c r="DY238" i="1"/>
  <c r="FN235" i="1"/>
  <c r="EC237" i="1"/>
  <c r="FO232" i="1"/>
  <c r="AJ74" i="3" l="1"/>
  <c r="FO234" i="2"/>
  <c r="EF236" i="1"/>
  <c r="EG236" i="1" s="1"/>
  <c r="FO233" i="1" s="1"/>
  <c r="ED237" i="1"/>
  <c r="EE237" i="1"/>
  <c r="EC238" i="1"/>
  <c r="FN240" i="3"/>
  <c r="FO238" i="3"/>
  <c r="DY239" i="2"/>
  <c r="FN236" i="2"/>
  <c r="DY239" i="1"/>
  <c r="FN236" i="1"/>
  <c r="FO239" i="3" l="1"/>
  <c r="FO235" i="2"/>
  <c r="ED238" i="1"/>
  <c r="EE238" i="1"/>
  <c r="EF237" i="1"/>
  <c r="EG237" i="1" s="1"/>
  <c r="FO234" i="1" s="1"/>
  <c r="FN241" i="3"/>
  <c r="DY240" i="2"/>
  <c r="FN237" i="2"/>
  <c r="DY240" i="1"/>
  <c r="FN237" i="1"/>
  <c r="EC239" i="1"/>
  <c r="FO240" i="3" l="1"/>
  <c r="ED239" i="1"/>
  <c r="EE239" i="1"/>
  <c r="EF238" i="1"/>
  <c r="EG238" i="1" s="1"/>
  <c r="FO235" i="1" s="1"/>
  <c r="FN242" i="3"/>
  <c r="DY241" i="2"/>
  <c r="FN238" i="2"/>
  <c r="DY241" i="1"/>
  <c r="FN238" i="1"/>
  <c r="EC240" i="1"/>
  <c r="FO241" i="3" l="1"/>
  <c r="FO236" i="2"/>
  <c r="EF239" i="1"/>
  <c r="EG239" i="1" s="1"/>
  <c r="FO236" i="1" s="1"/>
  <c r="ED240" i="1"/>
  <c r="EE240" i="1"/>
  <c r="EC241" i="1"/>
  <c r="FN243" i="3"/>
  <c r="DY242" i="2"/>
  <c r="FN239" i="2"/>
  <c r="DY242" i="1"/>
  <c r="FN239" i="1"/>
  <c r="ED241" i="1" l="1"/>
  <c r="EE241" i="1"/>
  <c r="EF241" i="1" s="1"/>
  <c r="EG241" i="1" s="1"/>
  <c r="FO238" i="1" s="1"/>
  <c r="EF240" i="1"/>
  <c r="EG240" i="1" s="1"/>
  <c r="FO237" i="1" s="1"/>
  <c r="EC242" i="1"/>
  <c r="FN244" i="3"/>
  <c r="DY243" i="2"/>
  <c r="FN240" i="2"/>
  <c r="FO237" i="2"/>
  <c r="DY243" i="1"/>
  <c r="FN240" i="1"/>
  <c r="FO239" i="2" l="1"/>
  <c r="ED242" i="1"/>
  <c r="EE242" i="1"/>
  <c r="EC243" i="1"/>
  <c r="FO242" i="3"/>
  <c r="FO243" i="3"/>
  <c r="FN245" i="3"/>
  <c r="DY244" i="2"/>
  <c r="FN241" i="2"/>
  <c r="FO238" i="2"/>
  <c r="DY244" i="1"/>
  <c r="FN241" i="1"/>
  <c r="ED243" i="1" l="1"/>
  <c r="EE243" i="1"/>
  <c r="EF243" i="1" s="1"/>
  <c r="EG243" i="1" s="1"/>
  <c r="FO240" i="1" s="1"/>
  <c r="EF242" i="1"/>
  <c r="EG242" i="1" s="1"/>
  <c r="FO239" i="1" s="1"/>
  <c r="FN246" i="3"/>
  <c r="FO244" i="3"/>
  <c r="DY245" i="2"/>
  <c r="FN242" i="2"/>
  <c r="DY245" i="1"/>
  <c r="FN242" i="1"/>
  <c r="EC244" i="1"/>
  <c r="FO241" i="2" l="1"/>
  <c r="ED244" i="1"/>
  <c r="EE244" i="1"/>
  <c r="EC245" i="1"/>
  <c r="FN247" i="3"/>
  <c r="DY246" i="2"/>
  <c r="FN243" i="2"/>
  <c r="FO240" i="2"/>
  <c r="DY246" i="1"/>
  <c r="FN243" i="1"/>
  <c r="FO246" i="3" l="1"/>
  <c r="EF244" i="1"/>
  <c r="EG244" i="1" s="1"/>
  <c r="FO241" i="1" s="1"/>
  <c r="ED245" i="1"/>
  <c r="EE245" i="1"/>
  <c r="FO245" i="3"/>
  <c r="AJ75" i="3" s="1"/>
  <c r="FN248" i="3"/>
  <c r="DY247" i="2"/>
  <c r="FN244" i="2"/>
  <c r="DY247" i="1"/>
  <c r="FN244" i="1"/>
  <c r="EC246" i="1"/>
  <c r="FO247" i="3" l="1"/>
  <c r="ED246" i="1"/>
  <c r="EE246" i="1"/>
  <c r="EF245" i="1"/>
  <c r="EG245" i="1" s="1"/>
  <c r="FO242" i="1" s="1"/>
  <c r="FN249" i="3"/>
  <c r="DY248" i="2"/>
  <c r="FN245" i="2"/>
  <c r="FO242" i="2"/>
  <c r="DY248" i="1"/>
  <c r="FN245" i="1"/>
  <c r="EC247" i="1"/>
  <c r="FO248" i="3" l="1"/>
  <c r="FO244" i="2"/>
  <c r="EF246" i="1"/>
  <c r="EG246" i="1" s="1"/>
  <c r="FO243" i="1" s="1"/>
  <c r="ED247" i="1"/>
  <c r="EE247" i="1"/>
  <c r="FN250" i="3"/>
  <c r="DY249" i="2"/>
  <c r="FN246" i="2"/>
  <c r="FO243" i="2"/>
  <c r="DY249" i="1"/>
  <c r="FN246" i="1"/>
  <c r="EC248" i="1"/>
  <c r="ED248" i="1" l="1"/>
  <c r="EE248" i="1"/>
  <c r="EF247" i="1"/>
  <c r="EG247" i="1" s="1"/>
  <c r="FO244" i="1" s="1"/>
  <c r="FN251" i="3"/>
  <c r="DY250" i="2"/>
  <c r="FN247" i="2"/>
  <c r="DY250" i="1"/>
  <c r="FN247" i="1"/>
  <c r="EC249" i="1"/>
  <c r="FO250" i="3" l="1"/>
  <c r="ED249" i="1"/>
  <c r="EE249" i="1"/>
  <c r="EF248" i="1"/>
  <c r="EG248" i="1" s="1"/>
  <c r="FO245" i="1" s="1"/>
  <c r="FO249" i="3"/>
  <c r="FN252" i="3"/>
  <c r="DY251" i="2"/>
  <c r="FN248" i="2"/>
  <c r="FO245" i="2"/>
  <c r="DY251" i="1"/>
  <c r="FN248" i="1"/>
  <c r="EC250" i="1"/>
  <c r="FO251" i="3" l="1"/>
  <c r="ED250" i="1"/>
  <c r="EE250" i="1"/>
  <c r="EF249" i="1"/>
  <c r="EG249" i="1" s="1"/>
  <c r="FO246" i="1" s="1"/>
  <c r="FN253" i="3"/>
  <c r="DY252" i="2"/>
  <c r="FN249" i="2"/>
  <c r="FO246" i="2"/>
  <c r="FO247" i="2"/>
  <c r="DY252" i="1"/>
  <c r="FN249" i="1"/>
  <c r="EC251" i="1"/>
  <c r="FO252" i="3" l="1"/>
  <c r="FO248" i="2"/>
  <c r="ED251" i="1"/>
  <c r="EE251" i="1"/>
  <c r="EF251" i="1" s="1"/>
  <c r="EG251" i="1" s="1"/>
  <c r="EF250" i="1"/>
  <c r="EG250" i="1" s="1"/>
  <c r="FO247" i="1" s="1"/>
  <c r="FN254" i="3"/>
  <c r="DY253" i="2"/>
  <c r="FN250" i="2"/>
  <c r="DY253" i="1"/>
  <c r="FN250" i="1"/>
  <c r="EC252" i="1"/>
  <c r="FO253" i="3" l="1"/>
  <c r="ED252" i="1"/>
  <c r="EE252" i="1"/>
  <c r="FO248" i="1"/>
  <c r="EC253" i="1"/>
  <c r="FO254" i="3" l="1"/>
  <c r="AJ76" i="3" s="1"/>
  <c r="AJ77" i="3" s="1"/>
  <c r="FO249" i="2"/>
  <c r="FO250" i="2"/>
  <c r="ED253" i="1"/>
  <c r="EE253" i="1"/>
  <c r="EF252" i="1"/>
  <c r="EG252" i="1" s="1"/>
  <c r="FO249" i="1" s="1"/>
  <c r="EF253" i="1" l="1"/>
  <c r="EG253" i="1" s="1"/>
  <c r="FO250" i="1" s="1"/>
  <c r="AA62" i="1" l="1"/>
  <c r="AA67" i="1"/>
  <c r="AA69" i="1"/>
  <c r="AA68" i="1"/>
  <c r="AA71" i="1"/>
  <c r="AA63" i="1"/>
  <c r="AA70" i="1"/>
  <c r="AA66" i="1"/>
  <c r="AA61" i="1"/>
  <c r="AA64" i="1"/>
  <c r="AA65" i="1"/>
  <c r="AA72" i="1"/>
  <c r="AA73" i="1"/>
  <c r="AA74" i="1"/>
  <c r="AA75" i="1"/>
  <c r="AA76" i="1"/>
  <c r="AA77" i="1" l="1"/>
</calcChain>
</file>

<file path=xl/sharedStrings.xml><?xml version="1.0" encoding="utf-8"?>
<sst xmlns="http://schemas.openxmlformats.org/spreadsheetml/2006/main" count="1026" uniqueCount="359">
  <si>
    <t>X</t>
  </si>
  <si>
    <t>PLOT (ohms)</t>
  </si>
  <si>
    <t>(res branch)</t>
  </si>
  <si>
    <t>(aux branch)</t>
  </si>
  <si>
    <t>PO Box 942</t>
  </si>
  <si>
    <t>HARM #</t>
  </si>
  <si>
    <t>Xc main</t>
  </si>
  <si>
    <t>Xc aux</t>
  </si>
  <si>
    <t>XL (inductance)</t>
  </si>
  <si>
    <t>Resistance</t>
  </si>
  <si>
    <t>XCAUX + XL</t>
  </si>
  <si>
    <t xml:space="preserve"> </t>
  </si>
  <si>
    <t>Saratoga Springs, NY 12866</t>
  </si>
  <si>
    <t>518.369.7589</t>
  </si>
  <si>
    <t>Harmonic Filter Design / Notch Type</t>
  </si>
  <si>
    <t>📐 DESIGN VERIFICATION</t>
  </si>
  <si>
    <r>
      <t xml:space="preserve">DF </t>
    </r>
    <r>
      <rPr>
        <sz val="11"/>
        <color theme="1"/>
        <rFont val="Calibri"/>
        <family val="2"/>
        <scheme val="minor"/>
      </rPr>
      <t>(Damping Factor)</t>
    </r>
  </si>
  <si>
    <t>📜 PROJECT DETAILS</t>
  </si>
  <si>
    <t>Capacitor Design Ratings Versus Duty Rating</t>
  </si>
  <si>
    <t>Design Values</t>
  </si>
  <si>
    <t>Project Name:</t>
  </si>
  <si>
    <t>Enter Project Name</t>
  </si>
  <si>
    <t>VarStec SO #:</t>
  </si>
  <si>
    <t>Enter SO Number</t>
  </si>
  <si>
    <t>At Nominal
Voltage</t>
  </si>
  <si>
    <t>At Nominal 110% System Voltage</t>
  </si>
  <si>
    <t>Customer PO #:</t>
  </si>
  <si>
    <t xml:space="preserve">Enter Customer PO # </t>
  </si>
  <si>
    <t>Revision #:</t>
  </si>
  <si>
    <t>Rev 1</t>
  </si>
  <si>
    <t>Design Parameter</t>
  </si>
  <si>
    <t>Rated Duty</t>
  </si>
  <si>
    <t>Tag #:</t>
  </si>
  <si>
    <t>Enter Tag Number</t>
  </si>
  <si>
    <t>Stage/Branch:</t>
  </si>
  <si>
    <t>Stage 1</t>
  </si>
  <si>
    <t>% RATED VOLTS:</t>
  </si>
  <si>
    <t>% CREST VOLTAGE:</t>
  </si>
  <si>
    <t>🧮 SPECIFICATION DETAILS</t>
  </si>
  <si>
    <t>Key Filter Ratings</t>
  </si>
  <si>
    <r>
      <t xml:space="preserve">DF </t>
    </r>
    <r>
      <rPr>
        <sz val="11"/>
        <color theme="1"/>
        <rFont val="Calibri"/>
        <family val="2"/>
        <scheme val="minor"/>
      </rPr>
      <t>(Damping Factor of High-Pass Filter):</t>
    </r>
  </si>
  <si>
    <r>
      <t>kV</t>
    </r>
    <r>
      <rPr>
        <b/>
        <vertAlign val="subscript"/>
        <sz val="11"/>
        <color theme="1"/>
        <rFont val="Calibri"/>
        <family val="2"/>
        <scheme val="minor"/>
      </rPr>
      <t xml:space="preserve">LLsys </t>
    </r>
    <r>
      <rPr>
        <sz val="11"/>
        <color theme="1"/>
        <rFont val="Calibri"/>
        <family val="2"/>
        <scheme val="minor"/>
      </rPr>
      <t>(System Line-to-Line Voltage Rating):</t>
    </r>
  </si>
  <si>
    <t>kV</t>
  </si>
  <si>
    <r>
      <t>X</t>
    </r>
    <r>
      <rPr>
        <b/>
        <vertAlign val="subscript"/>
        <sz val="11"/>
        <color theme="1"/>
        <rFont val="Calibri"/>
        <family val="2"/>
        <scheme val="minor"/>
      </rPr>
      <t xml:space="preserve">eff </t>
    </r>
    <r>
      <rPr>
        <sz val="11"/>
        <color theme="1"/>
        <rFont val="Calibri"/>
        <family val="2"/>
        <scheme val="minor"/>
      </rPr>
      <t>Filter Effective Reactance)</t>
    </r>
    <r>
      <rPr>
        <b/>
        <sz val="11"/>
        <color theme="1"/>
        <rFont val="Calibri"/>
        <family val="2"/>
        <scheme val="minor"/>
      </rPr>
      <t>:</t>
    </r>
  </si>
  <si>
    <t>Ohms</t>
  </si>
  <si>
    <t>High-Pass Resistor Losses:</t>
  </si>
  <si>
    <r>
      <t>Q</t>
    </r>
    <r>
      <rPr>
        <b/>
        <vertAlign val="subscript"/>
        <sz val="11"/>
        <color theme="1"/>
        <rFont val="Calibri"/>
        <family val="2"/>
        <scheme val="minor"/>
      </rPr>
      <t>eff</t>
    </r>
    <r>
      <rPr>
        <vertAlign val="subscript"/>
        <sz val="11"/>
        <color theme="1"/>
        <rFont val="Calibri"/>
        <family val="2"/>
        <scheme val="minor"/>
      </rPr>
      <t xml:space="preserve"> </t>
    </r>
    <r>
      <rPr>
        <sz val="11"/>
        <color theme="1"/>
        <rFont val="Calibri"/>
        <family val="2"/>
        <scheme val="minor"/>
      </rPr>
      <t>(3-Phase Output Rating of Filter):</t>
    </r>
  </si>
  <si>
    <t>kvar</t>
  </si>
  <si>
    <r>
      <t>I</t>
    </r>
    <r>
      <rPr>
        <b/>
        <vertAlign val="subscript"/>
        <sz val="11"/>
        <color theme="1"/>
        <rFont val="Calibri"/>
        <family val="2"/>
        <scheme val="minor"/>
      </rPr>
      <t>CAP</t>
    </r>
    <r>
      <rPr>
        <sz val="11"/>
        <color theme="1"/>
        <rFont val="Calibri"/>
        <family val="2"/>
        <scheme val="minor"/>
      </rPr>
      <t xml:space="preserve"> (Fundamental Current per Capacitor</t>
    </r>
    <r>
      <rPr>
        <b/>
        <sz val="11"/>
        <color theme="1"/>
        <rFont val="Calibri"/>
        <family val="2"/>
        <scheme val="minor"/>
      </rPr>
      <t>):</t>
    </r>
  </si>
  <si>
    <t>amps</t>
  </si>
  <si>
    <t>Capacitive Reactance (per can):</t>
  </si>
  <si>
    <r>
      <t>h</t>
    </r>
    <r>
      <rPr>
        <b/>
        <vertAlign val="subscript"/>
        <sz val="11"/>
        <color theme="1"/>
        <rFont val="Calibri"/>
        <family val="2"/>
        <scheme val="minor"/>
      </rPr>
      <t>n</t>
    </r>
    <r>
      <rPr>
        <b/>
        <sz val="11"/>
        <color theme="1"/>
        <rFont val="Calibri"/>
        <family val="2"/>
        <scheme val="minor"/>
      </rPr>
      <t xml:space="preserve"> </t>
    </r>
    <r>
      <rPr>
        <sz val="11"/>
        <color theme="1"/>
        <rFont val="Calibri"/>
        <family val="2"/>
        <scheme val="minor"/>
      </rPr>
      <t>(Tuning Point of Filter):</t>
    </r>
  </si>
  <si>
    <t>(harmonic number)</t>
  </si>
  <si>
    <r>
      <t>h</t>
    </r>
    <r>
      <rPr>
        <vertAlign val="subscript"/>
        <sz val="11"/>
        <color theme="1"/>
        <rFont val="Calibri"/>
        <family val="2"/>
        <scheme val="minor"/>
      </rPr>
      <t xml:space="preserve">f </t>
    </r>
    <r>
      <rPr>
        <sz val="11"/>
        <color theme="1"/>
        <rFont val="Calibri"/>
        <family val="2"/>
        <scheme val="minor"/>
      </rPr>
      <t>:</t>
    </r>
  </si>
  <si>
    <t>Hz</t>
  </si>
  <si>
    <r>
      <t>I</t>
    </r>
    <r>
      <rPr>
        <b/>
        <vertAlign val="subscript"/>
        <sz val="11"/>
        <color theme="1"/>
        <rFont val="Calibri"/>
        <family val="2"/>
        <scheme val="minor"/>
      </rPr>
      <t xml:space="preserve"> CAP FUSE</t>
    </r>
    <r>
      <rPr>
        <b/>
        <sz val="11"/>
        <color theme="1"/>
        <rFont val="Calibri"/>
        <family val="2"/>
        <scheme val="minor"/>
      </rPr>
      <t xml:space="preserve"> </t>
    </r>
    <r>
      <rPr>
        <sz val="11"/>
        <color theme="1"/>
        <rFont val="Calibri"/>
        <family val="2"/>
        <scheme val="minor"/>
      </rPr>
      <t>(Minimum Fuse Rating):</t>
    </r>
  </si>
  <si>
    <t>Capacitance (per can):</t>
  </si>
  <si>
    <r>
      <rPr>
        <sz val="11"/>
        <color theme="1"/>
        <rFont val="Calibri"/>
        <family val="2"/>
      </rPr>
      <t>µ</t>
    </r>
    <r>
      <rPr>
        <sz val="11"/>
        <color theme="1"/>
        <rFont val="Calibri"/>
        <family val="2"/>
        <scheme val="minor"/>
      </rPr>
      <t>F</t>
    </r>
  </si>
  <si>
    <r>
      <t xml:space="preserve">f </t>
    </r>
    <r>
      <rPr>
        <sz val="11"/>
        <color theme="1"/>
        <rFont val="Calibri"/>
        <family val="2"/>
        <scheme val="minor"/>
      </rPr>
      <t>(System Frequency):</t>
    </r>
  </si>
  <si>
    <t>(HZ)</t>
  </si>
  <si>
    <r>
      <t>I</t>
    </r>
    <r>
      <rPr>
        <b/>
        <vertAlign val="subscript"/>
        <sz val="11"/>
        <color theme="1"/>
        <rFont val="Calibri"/>
        <family val="2"/>
        <scheme val="minor"/>
      </rPr>
      <t>RATED FUNDAMENTAL</t>
    </r>
    <r>
      <rPr>
        <b/>
        <sz val="11"/>
        <color theme="1"/>
        <rFont val="Calibri"/>
        <family val="2"/>
        <scheme val="minor"/>
      </rPr>
      <t>:</t>
    </r>
  </si>
  <si>
    <r>
      <t>V</t>
    </r>
    <r>
      <rPr>
        <b/>
        <vertAlign val="subscript"/>
        <sz val="11"/>
        <color theme="1"/>
        <rFont val="Calibri"/>
        <family val="2"/>
        <scheme val="minor"/>
      </rPr>
      <t>CAP FUNDAMENTAL VOLTAGE</t>
    </r>
    <r>
      <rPr>
        <b/>
        <sz val="11"/>
        <color theme="1"/>
        <rFont val="Calibri"/>
        <family val="2"/>
        <scheme val="minor"/>
      </rPr>
      <t>:</t>
    </r>
  </si>
  <si>
    <r>
      <t>I</t>
    </r>
    <r>
      <rPr>
        <b/>
        <vertAlign val="subscript"/>
        <sz val="11"/>
        <color theme="1"/>
        <rFont val="Calibri"/>
        <family val="2"/>
        <scheme val="minor"/>
      </rPr>
      <t>FILTER RMS CURRENT</t>
    </r>
    <r>
      <rPr>
        <b/>
        <sz val="11"/>
        <color theme="1"/>
        <rFont val="Calibri"/>
        <family val="2"/>
        <scheme val="minor"/>
      </rPr>
      <t>:</t>
    </r>
  </si>
  <si>
    <r>
      <t>V</t>
    </r>
    <r>
      <rPr>
        <b/>
        <vertAlign val="subscript"/>
        <sz val="11"/>
        <color theme="1"/>
        <rFont val="Calibri"/>
        <family val="2"/>
        <scheme val="minor"/>
      </rPr>
      <t>CAP RMS VOLTAGE</t>
    </r>
    <r>
      <rPr>
        <b/>
        <sz val="11"/>
        <color theme="1"/>
        <rFont val="Calibri"/>
        <family val="2"/>
        <scheme val="minor"/>
      </rPr>
      <t>:</t>
    </r>
  </si>
  <si>
    <r>
      <t>V</t>
    </r>
    <r>
      <rPr>
        <b/>
        <vertAlign val="subscript"/>
        <sz val="11"/>
        <color theme="1"/>
        <rFont val="Calibri"/>
        <family val="2"/>
        <scheme val="minor"/>
      </rPr>
      <t>CAP, PEAK CAP VOLTAGE</t>
    </r>
    <r>
      <rPr>
        <b/>
        <sz val="11"/>
        <color theme="1"/>
        <rFont val="Calibri"/>
        <family val="2"/>
        <scheme val="minor"/>
      </rPr>
      <t>:</t>
    </r>
  </si>
  <si>
    <t>Expected Harmonic Current (amps) Into Line Side of Filter of Filter Branch/Stage</t>
  </si>
  <si>
    <r>
      <t>I</t>
    </r>
    <r>
      <rPr>
        <b/>
        <vertAlign val="subscript"/>
        <sz val="11"/>
        <color theme="1"/>
        <rFont val="Calibri"/>
        <family val="2"/>
        <scheme val="minor"/>
      </rPr>
      <t>CAP RMS CURRENT</t>
    </r>
    <r>
      <rPr>
        <b/>
        <sz val="11"/>
        <color theme="1"/>
        <rFont val="Calibri"/>
        <family val="2"/>
        <scheme val="minor"/>
      </rPr>
      <t>:</t>
    </r>
  </si>
  <si>
    <r>
      <t xml:space="preserve"> (</t>
    </r>
    <r>
      <rPr>
        <b/>
        <i/>
        <sz val="11"/>
        <color theme="1"/>
        <rFont val="Calibri"/>
        <family val="2"/>
        <scheme val="minor"/>
      </rPr>
      <t>n</t>
    </r>
    <r>
      <rPr>
        <b/>
        <sz val="11"/>
        <color theme="1"/>
        <rFont val="Calibri"/>
        <family val="2"/>
        <scheme val="minor"/>
      </rPr>
      <t xml:space="preserve">) </t>
    </r>
    <r>
      <rPr>
        <sz val="11"/>
        <color theme="1"/>
        <rFont val="Calibri"/>
        <family val="2"/>
        <scheme val="minor"/>
      </rPr>
      <t>Harmonic:</t>
    </r>
  </si>
  <si>
    <r>
      <t>Q</t>
    </r>
    <r>
      <rPr>
        <b/>
        <vertAlign val="subscript"/>
        <sz val="11"/>
        <color theme="1"/>
        <rFont val="Calibri"/>
        <family val="2"/>
        <scheme val="minor"/>
      </rPr>
      <t>CAPACITOR (1-phase)</t>
    </r>
    <r>
      <rPr>
        <b/>
        <sz val="11"/>
        <color theme="1"/>
        <rFont val="Calibri"/>
        <family val="2"/>
        <scheme val="minor"/>
      </rPr>
      <t>:</t>
    </r>
  </si>
  <si>
    <r>
      <t>(I</t>
    </r>
    <r>
      <rPr>
        <b/>
        <i/>
        <vertAlign val="subscript"/>
        <sz val="11"/>
        <color theme="1"/>
        <rFont val="Calibri"/>
        <family val="2"/>
        <scheme val="minor"/>
      </rPr>
      <t>n</t>
    </r>
    <r>
      <rPr>
        <b/>
        <sz val="11"/>
        <color theme="1"/>
        <rFont val="Calibri"/>
        <family val="2"/>
        <scheme val="minor"/>
      </rPr>
      <t xml:space="preserve">) </t>
    </r>
    <r>
      <rPr>
        <sz val="11"/>
        <color theme="1"/>
        <rFont val="Calibri"/>
        <family val="2"/>
        <scheme val="minor"/>
      </rPr>
      <t>Filter current</t>
    </r>
    <r>
      <rPr>
        <b/>
        <sz val="11"/>
        <color theme="1"/>
        <rFont val="Calibri"/>
        <family val="2"/>
        <scheme val="minor"/>
      </rPr>
      <t>:</t>
    </r>
  </si>
  <si>
    <t xml:space="preserve"> Capacitor Rating Details</t>
  </si>
  <si>
    <r>
      <t>V</t>
    </r>
    <r>
      <rPr>
        <b/>
        <vertAlign val="subscript"/>
        <sz val="11"/>
        <color theme="1"/>
        <rFont val="Calibri"/>
        <family val="2"/>
        <scheme val="minor"/>
      </rPr>
      <t>CAP RATING</t>
    </r>
    <r>
      <rPr>
        <b/>
        <sz val="11"/>
        <color theme="1"/>
        <rFont val="Calibri"/>
        <family val="2"/>
        <scheme val="minor"/>
      </rPr>
      <t xml:space="preserve"> </t>
    </r>
    <r>
      <rPr>
        <sz val="11"/>
        <color theme="1"/>
        <rFont val="Calibri"/>
        <family val="2"/>
        <scheme val="minor"/>
      </rPr>
      <t>(Voltage Rating of Capacitor):</t>
    </r>
  </si>
  <si>
    <t>Individual Capacitor Rating:</t>
  </si>
  <si>
    <r>
      <t xml:space="preserve">N </t>
    </r>
    <r>
      <rPr>
        <sz val="11"/>
        <color theme="1"/>
        <rFont val="Calibri"/>
        <family val="2"/>
        <scheme val="minor"/>
      </rPr>
      <t>(Number of Capacitors Per Phase)</t>
    </r>
    <r>
      <rPr>
        <b/>
        <sz val="11"/>
        <color theme="1"/>
        <rFont val="Calibri"/>
        <family val="2"/>
        <scheme val="minor"/>
      </rPr>
      <t>:</t>
    </r>
  </si>
  <si>
    <r>
      <t>Q</t>
    </r>
    <r>
      <rPr>
        <b/>
        <vertAlign val="subscript"/>
        <sz val="11"/>
        <color theme="1"/>
        <rFont val="Calibri"/>
        <family val="2"/>
        <scheme val="minor"/>
      </rPr>
      <t xml:space="preserve"> RATED PER PHASE</t>
    </r>
    <r>
      <rPr>
        <b/>
        <sz val="11"/>
        <color theme="1"/>
        <rFont val="Calibri"/>
        <family val="2"/>
        <scheme val="minor"/>
      </rPr>
      <t>:</t>
    </r>
  </si>
  <si>
    <r>
      <t>X</t>
    </r>
    <r>
      <rPr>
        <b/>
        <vertAlign val="subscript"/>
        <sz val="11"/>
        <color theme="1"/>
        <rFont val="Calibri"/>
        <family val="2"/>
        <scheme val="minor"/>
      </rPr>
      <t>C</t>
    </r>
    <r>
      <rPr>
        <b/>
        <sz val="11"/>
        <color theme="1"/>
        <rFont val="Calibri"/>
        <family val="2"/>
        <scheme val="minor"/>
      </rPr>
      <t>:</t>
    </r>
  </si>
  <si>
    <t xml:space="preserve"> Capacitor Capacitance (per phase):</t>
  </si>
  <si>
    <t>𝜇F/Phase</t>
  </si>
  <si>
    <t>Tuning Reactor</t>
  </si>
  <si>
    <r>
      <rPr>
        <b/>
        <sz val="11"/>
        <color theme="1"/>
        <rFont val="Calibri"/>
        <family val="2"/>
        <scheme val="minor"/>
      </rPr>
      <t>X/R</t>
    </r>
    <r>
      <rPr>
        <b/>
        <vertAlign val="subscript"/>
        <sz val="11"/>
        <color theme="1"/>
        <rFont val="Calibri"/>
        <family val="2"/>
        <scheme val="minor"/>
      </rPr>
      <t>ratio</t>
    </r>
    <r>
      <rPr>
        <sz val="11"/>
        <color theme="1"/>
        <rFont val="Calibri"/>
        <family val="2"/>
        <scheme val="minor"/>
      </rPr>
      <t xml:space="preserve"> (Tuning Reactor at System Frequency):</t>
    </r>
  </si>
  <si>
    <r>
      <rPr>
        <b/>
        <sz val="11"/>
        <color theme="1"/>
        <rFont val="Calibri"/>
        <family val="2"/>
        <scheme val="minor"/>
      </rPr>
      <t>X</t>
    </r>
    <r>
      <rPr>
        <b/>
        <vertAlign val="subscript"/>
        <sz val="11"/>
        <color theme="1"/>
        <rFont val="Calibri"/>
        <family val="2"/>
        <scheme val="minor"/>
      </rPr>
      <t>L</t>
    </r>
    <r>
      <rPr>
        <vertAlign val="subscript"/>
        <sz val="11"/>
        <color theme="1"/>
        <rFont val="Calibri"/>
        <family val="2"/>
        <scheme val="minor"/>
      </rPr>
      <t xml:space="preserve">  </t>
    </r>
    <r>
      <rPr>
        <sz val="11"/>
        <color theme="1"/>
        <rFont val="Calibri"/>
        <family val="2"/>
        <scheme val="minor"/>
      </rPr>
      <t>(Inductive Reactance):</t>
    </r>
  </si>
  <si>
    <t>ohms</t>
  </si>
  <si>
    <t>Enter Fundamental Current Design Margin:</t>
  </si>
  <si>
    <r>
      <t>H</t>
    </r>
    <r>
      <rPr>
        <b/>
        <vertAlign val="subscript"/>
        <sz val="11"/>
        <color theme="1"/>
        <rFont val="Calibri"/>
        <family val="2"/>
        <scheme val="minor"/>
      </rPr>
      <t>L</t>
    </r>
    <r>
      <rPr>
        <b/>
        <sz val="11"/>
        <color theme="1"/>
        <rFont val="Calibri"/>
        <family val="2"/>
        <scheme val="minor"/>
      </rPr>
      <t xml:space="preserve"> </t>
    </r>
    <r>
      <rPr>
        <sz val="11"/>
        <color theme="1"/>
        <rFont val="Calibri"/>
        <family val="2"/>
        <scheme val="minor"/>
      </rPr>
      <t>(Inductance)</t>
    </r>
    <r>
      <rPr>
        <b/>
        <sz val="11"/>
        <color theme="1"/>
        <rFont val="Calibri"/>
        <family val="2"/>
        <scheme val="minor"/>
      </rPr>
      <t>:</t>
    </r>
  </si>
  <si>
    <t>mH</t>
  </si>
  <si>
    <t>High-Pass Resistor</t>
  </si>
  <si>
    <t>Enter Harmonic Current Design Margin:</t>
  </si>
  <si>
    <r>
      <t>Rw</t>
    </r>
    <r>
      <rPr>
        <sz val="11"/>
        <color theme="1"/>
        <rFont val="Calibri"/>
        <family val="2"/>
        <scheme val="minor"/>
      </rPr>
      <t xml:space="preserve"> (Resistor KW/Phase - Specified)</t>
    </r>
    <r>
      <rPr>
        <b/>
        <sz val="11"/>
        <color theme="1"/>
        <rFont val="Calibri"/>
        <family val="2"/>
        <scheme val="minor"/>
      </rPr>
      <t>:</t>
    </r>
  </si>
  <si>
    <t>kW/Phase</t>
  </si>
  <si>
    <r>
      <t>I</t>
    </r>
    <r>
      <rPr>
        <b/>
        <vertAlign val="subscript"/>
        <sz val="14"/>
        <color theme="1"/>
        <rFont val="Calibri"/>
        <family val="2"/>
        <scheme val="minor"/>
      </rPr>
      <t>fundamental resistor current (actual)</t>
    </r>
    <r>
      <rPr>
        <b/>
        <sz val="11"/>
        <color theme="1"/>
        <rFont val="Calibri"/>
        <family val="2"/>
        <scheme val="minor"/>
      </rPr>
      <t>:</t>
    </r>
  </si>
  <si>
    <r>
      <t xml:space="preserve">R </t>
    </r>
    <r>
      <rPr>
        <sz val="11"/>
        <color theme="1"/>
        <rFont val="Calibri"/>
        <family val="2"/>
        <scheme val="minor"/>
      </rPr>
      <t>(Resistor Ohm rating/phase)</t>
    </r>
    <r>
      <rPr>
        <b/>
        <sz val="11"/>
        <color theme="1"/>
        <rFont val="Calibri"/>
        <family val="2"/>
        <scheme val="minor"/>
      </rPr>
      <t>:</t>
    </r>
  </si>
  <si>
    <r>
      <t>I</t>
    </r>
    <r>
      <rPr>
        <vertAlign val="subscript"/>
        <sz val="14"/>
        <color theme="1"/>
        <rFont val="Calibri"/>
        <family val="2"/>
        <scheme val="minor"/>
      </rPr>
      <t>fundamental resistor current (specified)</t>
    </r>
    <r>
      <rPr>
        <b/>
        <sz val="11"/>
        <color theme="1"/>
        <rFont val="Calibri"/>
        <family val="2"/>
        <scheme val="minor"/>
      </rPr>
      <t>:</t>
    </r>
  </si>
  <si>
    <r>
      <t>(R</t>
    </r>
    <r>
      <rPr>
        <b/>
        <vertAlign val="subscript"/>
        <sz val="11"/>
        <color theme="1"/>
        <rFont val="Calibri"/>
        <family val="2"/>
        <scheme val="minor"/>
      </rPr>
      <t>w</t>
    </r>
    <r>
      <rPr>
        <b/>
        <sz val="11"/>
        <color theme="1"/>
        <rFont val="Calibri"/>
        <family val="2"/>
        <scheme val="minor"/>
      </rPr>
      <t xml:space="preserve">) </t>
    </r>
    <r>
      <rPr>
        <sz val="11"/>
        <color theme="1"/>
        <rFont val="Calibri"/>
        <family val="2"/>
        <scheme val="minor"/>
      </rPr>
      <t>(Resistor KW/phase, actual)</t>
    </r>
    <r>
      <rPr>
        <b/>
        <sz val="11"/>
        <color theme="1"/>
        <rFont val="Calibri"/>
        <family val="2"/>
        <scheme val="minor"/>
      </rPr>
      <t>:</t>
    </r>
  </si>
  <si>
    <r>
      <t>I</t>
    </r>
    <r>
      <rPr>
        <b/>
        <vertAlign val="subscript"/>
        <sz val="11"/>
        <color theme="1"/>
        <rFont val="Calibri"/>
        <family val="2"/>
        <scheme val="minor"/>
      </rPr>
      <t xml:space="preserve">RESISTOR CURRENT  </t>
    </r>
    <r>
      <rPr>
        <b/>
        <sz val="11"/>
        <color theme="1"/>
        <rFont val="Calibri"/>
        <family val="2"/>
        <scheme val="minor"/>
      </rPr>
      <t>(amps)</t>
    </r>
  </si>
  <si>
    <t>Info@VarStec.com</t>
  </si>
  <si>
    <t>Rev Date: 12-26-2025</t>
  </si>
  <si>
    <t>2 | P a g e</t>
  </si>
  <si>
    <t>Table of Currents and Voltages</t>
  </si>
  <si>
    <t>📐 SIMPLIFIED ONE-LINE DIAGRAM</t>
  </si>
  <si>
    <t>(In) Filter Current</t>
  </si>
  <si>
    <t>Calculated Reactor Current</t>
  </si>
  <si>
    <t>VarStec Reactor Rating</t>
  </si>
  <si>
    <r>
      <t>I</t>
    </r>
    <r>
      <rPr>
        <b/>
        <vertAlign val="subscript"/>
        <sz val="11"/>
        <color theme="1"/>
        <rFont val="Calibri"/>
        <family val="2"/>
        <scheme val="minor"/>
      </rPr>
      <t xml:space="preserve">REACTOR CURRENT  </t>
    </r>
    <r>
      <rPr>
        <b/>
        <sz val="11"/>
        <color theme="1"/>
        <rFont val="Calibri"/>
        <family val="2"/>
        <scheme val="minor"/>
      </rPr>
      <t>(amps)</t>
    </r>
  </si>
  <si>
    <r>
      <t>(I</t>
    </r>
    <r>
      <rPr>
        <b/>
        <i/>
        <vertAlign val="subscript"/>
        <sz val="11"/>
        <color theme="1"/>
        <rFont val="Calibri"/>
        <family val="2"/>
        <scheme val="minor"/>
      </rPr>
      <t>n</t>
    </r>
    <r>
      <rPr>
        <b/>
        <sz val="11"/>
        <color theme="1"/>
        <rFont val="Calibri"/>
        <family val="2"/>
        <scheme val="minor"/>
      </rPr>
      <t>) Filter Current (amps):</t>
    </r>
  </si>
  <si>
    <r>
      <t>V</t>
    </r>
    <r>
      <rPr>
        <b/>
        <vertAlign val="subscript"/>
        <sz val="11"/>
        <color theme="1"/>
        <rFont val="Calibri"/>
        <family val="2"/>
        <scheme val="minor"/>
      </rPr>
      <t xml:space="preserve">CAP 
</t>
    </r>
    <r>
      <rPr>
        <b/>
        <sz val="11"/>
        <color theme="1"/>
        <rFont val="Calibri"/>
        <family val="2"/>
        <scheme val="minor"/>
      </rPr>
      <t xml:space="preserve"> Voltage
(volts)</t>
    </r>
  </si>
  <si>
    <r>
      <t>Harmonic #: (</t>
    </r>
    <r>
      <rPr>
        <b/>
        <i/>
        <sz val="11"/>
        <color theme="1"/>
        <rFont val="Calibri"/>
        <family val="2"/>
        <scheme val="minor"/>
      </rPr>
      <t>n</t>
    </r>
    <r>
      <rPr>
        <b/>
        <sz val="11"/>
        <color theme="1"/>
        <rFont val="Calibri"/>
        <family val="2"/>
        <scheme val="minor"/>
      </rPr>
      <t>)</t>
    </r>
  </si>
  <si>
    <t>Voltage Distortion*</t>
  </si>
  <si>
    <t>RMS</t>
  </si>
  <si>
    <t>* Voltage distortion at filter incoming based on specified harmonic currents in rows 24 and 25 of page 1.</t>
  </si>
  <si>
    <t>3 | P a g e</t>
  </si>
  <si>
    <t>4 | P a g e</t>
  </si>
  <si>
    <t>🧮 VENDOR SPECIFICATIONS</t>
  </si>
  <si>
    <t>🧮 3-PHASE LOSS ESTIMATES</t>
  </si>
  <si>
    <t>Reactor Specification</t>
  </si>
  <si>
    <t>60 Hertz Losses</t>
  </si>
  <si>
    <t>Filter Type:</t>
  </si>
  <si>
    <t>Notch Tuned</t>
  </si>
  <si>
    <t xml:space="preserve">Return Quote to: </t>
  </si>
  <si>
    <t>VarStec Power Solutions</t>
  </si>
  <si>
    <t>Capacitor Losses:</t>
  </si>
  <si>
    <t>Capacitor Fuse Losses:</t>
  </si>
  <si>
    <t>Tuning Point:</t>
  </si>
  <si>
    <t>Iron-Core Reactor Losses, 60 Hertz:</t>
  </si>
  <si>
    <t>Current Spectrum</t>
  </si>
  <si>
    <t xml:space="preserve">Tuning Reactor Details </t>
  </si>
  <si>
    <t>Harm #</t>
  </si>
  <si>
    <t>Amps</t>
  </si>
  <si>
    <t>Quantity:</t>
  </si>
  <si>
    <t>Number of Phases:</t>
  </si>
  <si>
    <t>Harmonic Losses Based on Specified Harmonics</t>
  </si>
  <si>
    <t>System Voltage:</t>
  </si>
  <si>
    <t>Iron-Core Reactor Losses:</t>
  </si>
  <si>
    <t>BIL Rating:</t>
  </si>
  <si>
    <t>Total Harmonic Losses:</t>
  </si>
  <si>
    <t>60 Second Withstand Voltage:</t>
  </si>
  <si>
    <t>Fundamental Frequency:</t>
  </si>
  <si>
    <t>Total Losses - All:</t>
  </si>
  <si>
    <t>Inductance:</t>
  </si>
  <si>
    <t>Reactance at 60Hz:</t>
  </si>
  <si>
    <t>Taps:</t>
  </si>
  <si>
    <t>None</t>
  </si>
  <si>
    <t>Insulation Type:</t>
  </si>
  <si>
    <t>Nomex</t>
  </si>
  <si>
    <t>Ambient:</t>
  </si>
  <si>
    <t>60C</t>
  </si>
  <si>
    <t>🧮 HARMONIC FILTER DESIGN METHODOLOGY</t>
  </si>
  <si>
    <t>Temperature Rise:</t>
  </si>
  <si>
    <t>115C Rise over Ambient</t>
  </si>
  <si>
    <t>Winding Type:</t>
  </si>
  <si>
    <t>CU/AL - Based On Price</t>
  </si>
  <si>
    <t>Tack Winding to Core:</t>
  </si>
  <si>
    <t>Yes</t>
  </si>
  <si>
    <t>Enclosure:</t>
  </si>
  <si>
    <t>None/Open Construction</t>
  </si>
  <si>
    <t>RMS:</t>
  </si>
  <si>
    <t>Capacitor Specification</t>
  </si>
  <si>
    <t>Notch | High-Pass | C-High-Pass Filter Design Considerations</t>
  </si>
  <si>
    <t xml:space="preserve">The notch type harmonic filter is the most economical design and provides harmonic filtering, power factor correction, and suppression of resonance above its tuning point (providing there are no other capacitors on the system). It precludes resonances at its tuning frequency and also filters at its tuning frequency and at frequencies above (to a lesser degree as you get further from the tuning point). It does not include a damping resistor. Because of cost and complexity, only consider High Pass or C High Pass filter when interharmonic producing loads are present, on systems with significant stray capacitance (renewable power plants or large industrial systems), and on systems where a damped filter is being employed with a shunt power capacitor bank to reduce cost. </t>
  </si>
  <si>
    <t>5 | P a g e</t>
  </si>
  <si>
    <t>6 | P a g e</t>
  </si>
  <si>
    <t>Nomenclature and Parameter Definitions for Harmonic Filter Design</t>
  </si>
  <si>
    <r>
      <t>X</t>
    </r>
    <r>
      <rPr>
        <b/>
        <vertAlign val="subscript"/>
        <sz val="11"/>
        <color theme="1"/>
        <rFont val="Calibri"/>
        <family val="2"/>
        <scheme val="minor"/>
      </rPr>
      <t>eff</t>
    </r>
    <r>
      <rPr>
        <b/>
        <sz val="11"/>
        <color theme="1"/>
        <rFont val="Calibri"/>
        <family val="2"/>
        <scheme val="minor"/>
      </rPr>
      <t>:</t>
    </r>
  </si>
  <si>
    <t>Effective reactance of the harmonic filter</t>
  </si>
  <si>
    <r>
      <t>Q</t>
    </r>
    <r>
      <rPr>
        <b/>
        <vertAlign val="subscript"/>
        <sz val="11"/>
        <color theme="1"/>
        <rFont val="Calibri"/>
        <family val="2"/>
        <scheme val="minor"/>
      </rPr>
      <t>eff</t>
    </r>
    <r>
      <rPr>
        <b/>
        <sz val="11"/>
        <color theme="1"/>
        <rFont val="Calibri"/>
        <family val="2"/>
        <scheme val="minor"/>
      </rPr>
      <t>:</t>
    </r>
  </si>
  <si>
    <t>Effective reactive power output of the harmonic filter (considering fundamental current only)</t>
  </si>
  <si>
    <r>
      <t>Q</t>
    </r>
    <r>
      <rPr>
        <b/>
        <vertAlign val="subscript"/>
        <sz val="11"/>
        <color theme="1"/>
        <rFont val="Calibri"/>
        <family val="2"/>
        <scheme val="minor"/>
      </rPr>
      <t>RATED PER PHASE</t>
    </r>
    <r>
      <rPr>
        <b/>
        <sz val="11"/>
        <color theme="1"/>
        <rFont val="Calibri"/>
        <family val="2"/>
        <scheme val="minor"/>
      </rPr>
      <t>:</t>
    </r>
  </si>
  <si>
    <t>kvar rating of main capacitor group at their rated voltage (not the application voltage)</t>
  </si>
  <si>
    <r>
      <t>V</t>
    </r>
    <r>
      <rPr>
        <b/>
        <vertAlign val="subscript"/>
        <sz val="11"/>
        <color theme="1"/>
        <rFont val="Calibri"/>
        <family val="2"/>
        <scheme val="minor"/>
      </rPr>
      <t>LLSYS</t>
    </r>
    <r>
      <rPr>
        <b/>
        <sz val="11"/>
        <color theme="1"/>
        <rFont val="Calibri"/>
        <family val="2"/>
        <scheme val="minor"/>
      </rPr>
      <t>:</t>
    </r>
  </si>
  <si>
    <t>Nominal system line-to-line voltage</t>
  </si>
  <si>
    <t>Capacitive reactance of the harmonic filter capacitor at fundamental frequency</t>
  </si>
  <si>
    <r>
      <t>X</t>
    </r>
    <r>
      <rPr>
        <b/>
        <vertAlign val="subscript"/>
        <sz val="11"/>
        <color theme="1"/>
        <rFont val="Calibri"/>
        <family val="2"/>
        <scheme val="minor"/>
      </rPr>
      <t>L</t>
    </r>
    <r>
      <rPr>
        <b/>
        <sz val="11"/>
        <color theme="1"/>
        <rFont val="Calibri"/>
        <family val="2"/>
        <scheme val="minor"/>
      </rPr>
      <t>:</t>
    </r>
  </si>
  <si>
    <t>Inductive reactance of the harmonic filter reactor at fundamental frequency</t>
  </si>
  <si>
    <r>
      <t>h</t>
    </r>
    <r>
      <rPr>
        <b/>
        <vertAlign val="subscript"/>
        <sz val="11"/>
        <color theme="1"/>
        <rFont val="Calibri"/>
        <family val="2"/>
        <scheme val="minor"/>
      </rPr>
      <t>n</t>
    </r>
    <r>
      <rPr>
        <b/>
        <sz val="11"/>
        <color theme="1"/>
        <rFont val="Calibri"/>
        <family val="2"/>
        <scheme val="minor"/>
      </rPr>
      <t>:</t>
    </r>
  </si>
  <si>
    <t>harmonic number of filter tuning point</t>
  </si>
  <si>
    <r>
      <t>h</t>
    </r>
    <r>
      <rPr>
        <b/>
        <vertAlign val="subscript"/>
        <sz val="11"/>
        <color theme="1"/>
        <rFont val="Calibri"/>
        <family val="2"/>
        <scheme val="minor"/>
      </rPr>
      <t>f</t>
    </r>
    <r>
      <rPr>
        <b/>
        <sz val="11"/>
        <color theme="1"/>
        <rFont val="Calibri"/>
        <family val="2"/>
        <scheme val="minor"/>
      </rPr>
      <t>:</t>
    </r>
  </si>
  <si>
    <t>harmonic frequency of filter tuning point in Hertz</t>
  </si>
  <si>
    <t>f:</t>
  </si>
  <si>
    <t>frequency</t>
  </si>
  <si>
    <r>
      <t>H</t>
    </r>
    <r>
      <rPr>
        <b/>
        <vertAlign val="subscript"/>
        <sz val="11"/>
        <color theme="1"/>
        <rFont val="Calibri"/>
        <family val="2"/>
        <scheme val="minor"/>
      </rPr>
      <t>L</t>
    </r>
    <r>
      <rPr>
        <b/>
        <sz val="11"/>
        <color theme="1"/>
        <rFont val="Calibri"/>
        <family val="2"/>
        <scheme val="minor"/>
      </rPr>
      <t>:</t>
    </r>
  </si>
  <si>
    <r>
      <t>I</t>
    </r>
    <r>
      <rPr>
        <b/>
        <vertAlign val="subscript"/>
        <sz val="11"/>
        <color theme="1"/>
        <rFont val="Calibri"/>
        <family val="2"/>
        <scheme val="minor"/>
      </rPr>
      <t xml:space="preserve">RATED FUNDAMENTAL </t>
    </r>
    <r>
      <rPr>
        <b/>
        <sz val="11"/>
        <color theme="1"/>
        <rFont val="Calibri"/>
        <family val="2"/>
        <scheme val="minor"/>
      </rPr>
      <t>:</t>
    </r>
  </si>
  <si>
    <t>Fundamental current rating of filter bank</t>
  </si>
  <si>
    <t>Fundamental voltage drop across capacitor</t>
  </si>
  <si>
    <r>
      <t>V</t>
    </r>
    <r>
      <rPr>
        <b/>
        <vertAlign val="subscript"/>
        <sz val="11"/>
        <color theme="1"/>
        <rFont val="Calibri"/>
        <family val="2"/>
        <scheme val="minor"/>
      </rPr>
      <t>CAP HARMONIC VOLTAGE</t>
    </r>
    <r>
      <rPr>
        <b/>
        <sz val="11"/>
        <color theme="1"/>
        <rFont val="Calibri"/>
        <family val="2"/>
        <scheme val="minor"/>
      </rPr>
      <t>:</t>
    </r>
  </si>
  <si>
    <t>Harmonic voltage drop across capacitor</t>
  </si>
  <si>
    <t>🧮 FORMULAS</t>
  </si>
  <si>
    <t>Capacitor RMS voltage (fundamental voltage + harmonic voltages)</t>
  </si>
  <si>
    <r>
      <t>V</t>
    </r>
    <r>
      <rPr>
        <b/>
        <vertAlign val="subscript"/>
        <sz val="11"/>
        <color theme="1"/>
        <rFont val="Calibri"/>
        <family val="2"/>
        <scheme val="minor"/>
      </rPr>
      <t>PEAK CAP VOLTAGE</t>
    </r>
    <r>
      <rPr>
        <b/>
        <sz val="11"/>
        <color theme="1"/>
        <rFont val="Calibri"/>
        <family val="2"/>
        <scheme val="minor"/>
      </rPr>
      <t>:</t>
    </r>
  </si>
  <si>
    <t>Capacitor voltage assuming or harmonics are coincident</t>
  </si>
  <si>
    <r>
      <t>V</t>
    </r>
    <r>
      <rPr>
        <b/>
        <vertAlign val="subscript"/>
        <sz val="11"/>
        <color theme="1"/>
        <rFont val="Calibri"/>
        <family val="2"/>
        <scheme val="minor"/>
      </rPr>
      <t>CAP MAIN RMS VOLTAGE</t>
    </r>
    <r>
      <rPr>
        <b/>
        <sz val="11"/>
        <color theme="1"/>
        <rFont val="Calibri"/>
        <family val="2"/>
        <scheme val="minor"/>
      </rPr>
      <t>:</t>
    </r>
  </si>
  <si>
    <r>
      <t>V</t>
    </r>
    <r>
      <rPr>
        <b/>
        <vertAlign val="subscript"/>
        <sz val="11"/>
        <color theme="1"/>
        <rFont val="Calibri"/>
        <family val="2"/>
        <scheme val="minor"/>
      </rPr>
      <t>CAP MAIN, PEAK CAP VOLTAGE</t>
    </r>
    <r>
      <rPr>
        <b/>
        <sz val="11"/>
        <color theme="1"/>
        <rFont val="Calibri"/>
        <family val="2"/>
        <scheme val="minor"/>
      </rPr>
      <t>:</t>
    </r>
  </si>
  <si>
    <t>N:</t>
  </si>
  <si>
    <t>Number of capacitors per phase</t>
  </si>
  <si>
    <r>
      <t>V</t>
    </r>
    <r>
      <rPr>
        <b/>
        <vertAlign val="subscript"/>
        <sz val="11"/>
        <color theme="1"/>
        <rFont val="Calibri"/>
        <family val="2"/>
        <scheme val="minor"/>
      </rPr>
      <t>CAP VAR RATING</t>
    </r>
    <r>
      <rPr>
        <b/>
        <sz val="11"/>
        <color theme="1"/>
        <rFont val="Calibri"/>
        <family val="2"/>
        <scheme val="minor"/>
      </rPr>
      <t>:</t>
    </r>
  </si>
  <si>
    <t>Capacitor can var rating (in Kvar)</t>
  </si>
  <si>
    <t>RMS current seen by capacitor (amps rms)</t>
  </si>
  <si>
    <t>RMS current into filter branch (amps rms)</t>
  </si>
  <si>
    <r>
      <t>I</t>
    </r>
    <r>
      <rPr>
        <b/>
        <vertAlign val="subscript"/>
        <sz val="11"/>
        <color theme="1"/>
        <rFont val="Calibri"/>
        <family val="2"/>
        <scheme val="minor"/>
      </rPr>
      <t>n</t>
    </r>
  </si>
  <si>
    <t>Current in amps at each harmonic</t>
  </si>
  <si>
    <t xml:space="preserve">One-Line Diagram
Notch Type Filter Design Parameters
</t>
  </si>
  <si>
    <t>7 | P a g e</t>
  </si>
  <si>
    <t>8 | P a g e</t>
  </si>
  <si>
    <t>VCAP HARMONIC VOLTAGE  (volts)^2</t>
  </si>
  <si>
    <t>Filter Current (amps) (In)^2</t>
  </si>
  <si>
    <t>kvar (single phase)</t>
  </si>
  <si>
    <t>harmonic #</t>
  </si>
  <si>
    <t>Total filter amps</t>
  </si>
  <si>
    <t>R &amp; X EQUIVALENT IMPEDANCE (ohms)</t>
  </si>
  <si>
    <t>I REACTOR (Calculate voltage then divide by xLn)</t>
  </si>
  <si>
    <t>I RESISTOR (calculate voltage then divide by R)</t>
  </si>
  <si>
    <t>Resistor losses (watts)</t>
  </si>
  <si>
    <t>I Resistor ^2 (watts)</t>
  </si>
  <si>
    <t>Resistor RMS Amps</t>
  </si>
  <si>
    <t>Total filter amps^2</t>
  </si>
  <si>
    <t>Total Filter RMS Amps</t>
  </si>
  <si>
    <r>
      <t>I</t>
    </r>
    <r>
      <rPr>
        <vertAlign val="superscript"/>
        <sz val="11"/>
        <color theme="1"/>
        <rFont val="Calibri"/>
        <family val="2"/>
        <scheme val="minor"/>
      </rPr>
      <t>2</t>
    </r>
    <r>
      <rPr>
        <sz val="11"/>
        <color theme="1"/>
        <rFont val="Calibri"/>
        <family val="2"/>
        <scheme val="minor"/>
      </rPr>
      <t>R REACTOR LOSSES (watts)</t>
    </r>
  </si>
  <si>
    <t>Reactor Current Squared</t>
  </si>
  <si>
    <t>High-Pass</t>
  </si>
  <si>
    <t>If the watt losses in an HP filter resistor become excessive due to a low damping factor, VarStec recommends switching to a C-HP filter design, especially for tuning at or below the 5th harmonic. As a guideline, when resistor losses exceed roughly 100 kW per phase, a C-HP design should be strongly considered. C-HP filters exhibit near-zero losses at 60 Hz and permit very low damping factors, providing significantly improved resonance damping.</t>
  </si>
  <si>
    <t>DF:</t>
  </si>
  <si>
    <t>R</t>
  </si>
  <si>
    <t>Resistance of high-pass damping resistor</t>
  </si>
  <si>
    <t xml:space="preserve">One-Line Diagram
High-Pass Filter Design Parameters
</t>
  </si>
  <si>
    <r>
      <t>(R</t>
    </r>
    <r>
      <rPr>
        <b/>
        <vertAlign val="subscript"/>
        <sz val="11"/>
        <color theme="1"/>
        <rFont val="Calibri"/>
        <family val="2"/>
        <scheme val="minor"/>
      </rPr>
      <t>w</t>
    </r>
    <r>
      <rPr>
        <b/>
        <sz val="11"/>
        <color theme="1"/>
        <rFont val="Calibri"/>
        <family val="2"/>
        <scheme val="minor"/>
      </rPr>
      <t xml:space="preserve">) </t>
    </r>
    <r>
      <rPr>
        <sz val="11"/>
        <color theme="1"/>
        <rFont val="Calibri"/>
        <family val="2"/>
        <scheme val="minor"/>
      </rPr>
      <t>(Resistor KW/Phase)</t>
    </r>
  </si>
  <si>
    <t>Main Capacitor Group Design Ratings Versus Duty Rating</t>
  </si>
  <si>
    <r>
      <t>I</t>
    </r>
    <r>
      <rPr>
        <b/>
        <vertAlign val="subscript"/>
        <sz val="11"/>
        <color theme="1"/>
        <rFont val="Calibri"/>
        <family val="2"/>
        <scheme val="minor"/>
      </rPr>
      <t>CAP MAIN</t>
    </r>
    <r>
      <rPr>
        <sz val="11"/>
        <color theme="1"/>
        <rFont val="Calibri"/>
        <family val="2"/>
        <scheme val="minor"/>
      </rPr>
      <t xml:space="preserve"> (Fundamental Current per Capacitor</t>
    </r>
    <r>
      <rPr>
        <b/>
        <sz val="11"/>
        <color theme="1"/>
        <rFont val="Calibri"/>
        <family val="2"/>
        <scheme val="minor"/>
      </rPr>
      <t>):</t>
    </r>
  </si>
  <si>
    <r>
      <t>V</t>
    </r>
    <r>
      <rPr>
        <b/>
        <vertAlign val="subscript"/>
        <sz val="11"/>
        <color theme="1"/>
        <rFont val="Calibri"/>
        <family val="2"/>
        <scheme val="minor"/>
      </rPr>
      <t>CAP MAIN FUNDAMENTAL VOLTAGE</t>
    </r>
    <r>
      <rPr>
        <b/>
        <sz val="11"/>
        <color theme="1"/>
        <rFont val="Calibri"/>
        <family val="2"/>
        <scheme val="minor"/>
      </rPr>
      <t>:</t>
    </r>
  </si>
  <si>
    <r>
      <t>I</t>
    </r>
    <r>
      <rPr>
        <b/>
        <vertAlign val="subscript"/>
        <sz val="11"/>
        <color theme="1"/>
        <rFont val="Calibri"/>
        <family val="2"/>
        <scheme val="minor"/>
      </rPr>
      <t>MAIN CAP RMS CURRENT</t>
    </r>
    <r>
      <rPr>
        <b/>
        <sz val="11"/>
        <color theme="1"/>
        <rFont val="Calibri"/>
        <family val="2"/>
        <scheme val="minor"/>
      </rPr>
      <t>:</t>
    </r>
  </si>
  <si>
    <r>
      <t>Q</t>
    </r>
    <r>
      <rPr>
        <b/>
        <vertAlign val="subscript"/>
        <sz val="11"/>
        <color theme="1"/>
        <rFont val="Calibri"/>
        <family val="2"/>
        <scheme val="minor"/>
      </rPr>
      <t>MAIN CAPACITOR (1-phase)</t>
    </r>
    <r>
      <rPr>
        <b/>
        <sz val="11"/>
        <color theme="1"/>
        <rFont val="Calibri"/>
        <family val="2"/>
        <scheme val="minor"/>
      </rPr>
      <t>:</t>
    </r>
  </si>
  <si>
    <t>Main Capacitor Group Rating Details</t>
  </si>
  <si>
    <r>
      <t>V</t>
    </r>
    <r>
      <rPr>
        <b/>
        <vertAlign val="subscript"/>
        <sz val="11"/>
        <color theme="1"/>
        <rFont val="Calibri"/>
        <family val="2"/>
        <scheme val="minor"/>
      </rPr>
      <t>CAP MAIN RATING</t>
    </r>
    <r>
      <rPr>
        <b/>
        <sz val="11"/>
        <color theme="1"/>
        <rFont val="Calibri"/>
        <family val="2"/>
        <scheme val="minor"/>
      </rPr>
      <t xml:space="preserve"> </t>
    </r>
    <r>
      <rPr>
        <sz val="11"/>
        <color theme="1"/>
        <rFont val="Calibri"/>
        <family val="2"/>
        <scheme val="minor"/>
      </rPr>
      <t>(Voltage Rating of Main Capacitor):</t>
    </r>
  </si>
  <si>
    <r>
      <t>N</t>
    </r>
    <r>
      <rPr>
        <b/>
        <vertAlign val="subscript"/>
        <sz val="11"/>
        <color theme="1"/>
        <rFont val="Calibri"/>
        <family val="2"/>
        <scheme val="minor"/>
      </rPr>
      <t>MAIN</t>
    </r>
    <r>
      <rPr>
        <b/>
        <sz val="11"/>
        <color theme="1"/>
        <rFont val="Calibri"/>
        <family val="2"/>
        <scheme val="minor"/>
      </rPr>
      <t xml:space="preserve"> </t>
    </r>
    <r>
      <rPr>
        <sz val="11"/>
        <color theme="1"/>
        <rFont val="Calibri"/>
        <family val="2"/>
        <scheme val="minor"/>
      </rPr>
      <t>(Number of Main Capacitors Per Phase)</t>
    </r>
    <r>
      <rPr>
        <b/>
        <sz val="11"/>
        <color theme="1"/>
        <rFont val="Calibri"/>
        <family val="2"/>
        <scheme val="minor"/>
      </rPr>
      <t>:</t>
    </r>
  </si>
  <si>
    <r>
      <t>Q</t>
    </r>
    <r>
      <rPr>
        <b/>
        <vertAlign val="subscript"/>
        <sz val="11"/>
        <color theme="1"/>
        <rFont val="Calibri"/>
        <family val="2"/>
        <scheme val="minor"/>
      </rPr>
      <t>MAIN RATED PER PHASE</t>
    </r>
    <r>
      <rPr>
        <b/>
        <sz val="11"/>
        <color theme="1"/>
        <rFont val="Calibri"/>
        <family val="2"/>
        <scheme val="minor"/>
      </rPr>
      <t>:</t>
    </r>
  </si>
  <si>
    <r>
      <t>X</t>
    </r>
    <r>
      <rPr>
        <b/>
        <vertAlign val="subscript"/>
        <sz val="11"/>
        <color theme="1"/>
        <rFont val="Calibri"/>
        <family val="2"/>
        <scheme val="minor"/>
      </rPr>
      <t>C-MAIN</t>
    </r>
    <r>
      <rPr>
        <b/>
        <sz val="11"/>
        <color theme="1"/>
        <rFont val="Calibri"/>
        <family val="2"/>
        <scheme val="minor"/>
      </rPr>
      <t>:</t>
    </r>
  </si>
  <si>
    <t>Main Cap Capacitance (per phase):</t>
  </si>
  <si>
    <r>
      <t>V</t>
    </r>
    <r>
      <rPr>
        <b/>
        <vertAlign val="subscript"/>
        <sz val="11"/>
        <color theme="1"/>
        <rFont val="Calibri"/>
        <family val="2"/>
        <scheme val="minor"/>
      </rPr>
      <t>CAP AUX RATING</t>
    </r>
    <r>
      <rPr>
        <vertAlign val="subscript"/>
        <sz val="11"/>
        <color theme="1"/>
        <rFont val="Calibri"/>
        <family val="2"/>
        <scheme val="minor"/>
      </rPr>
      <t xml:space="preserve"> </t>
    </r>
    <r>
      <rPr>
        <sz val="11"/>
        <color theme="1"/>
        <rFont val="Calibri"/>
        <family val="2"/>
        <scheme val="minor"/>
      </rPr>
      <t>(Voltage Rating of Aux Capacitor):</t>
    </r>
  </si>
  <si>
    <r>
      <t>Q</t>
    </r>
    <r>
      <rPr>
        <b/>
        <vertAlign val="subscript"/>
        <sz val="11"/>
        <color theme="1"/>
        <rFont val="Calibri"/>
        <family val="2"/>
        <scheme val="minor"/>
      </rPr>
      <t>AUX RATED PER PHASE</t>
    </r>
    <r>
      <rPr>
        <b/>
        <sz val="11"/>
        <color theme="1"/>
        <rFont val="Calibri"/>
        <family val="2"/>
        <scheme val="minor"/>
      </rPr>
      <t>:</t>
    </r>
  </si>
  <si>
    <r>
      <t>I</t>
    </r>
    <r>
      <rPr>
        <b/>
        <vertAlign val="subscript"/>
        <sz val="11"/>
        <color theme="1"/>
        <rFont val="Calibri"/>
        <family val="2"/>
        <scheme val="minor"/>
      </rPr>
      <t>CAP AUX</t>
    </r>
    <r>
      <rPr>
        <sz val="11"/>
        <color theme="1"/>
        <rFont val="Calibri"/>
        <family val="2"/>
        <scheme val="minor"/>
      </rPr>
      <t xml:space="preserve"> (Fundamental Amps Each Aux Capacitor)</t>
    </r>
    <r>
      <rPr>
        <b/>
        <sz val="11"/>
        <color theme="1"/>
        <rFont val="Calibri"/>
        <family val="2"/>
        <scheme val="minor"/>
      </rPr>
      <t>:</t>
    </r>
  </si>
  <si>
    <r>
      <t>X</t>
    </r>
    <r>
      <rPr>
        <b/>
        <vertAlign val="subscript"/>
        <sz val="11"/>
        <color theme="1"/>
        <rFont val="Calibri"/>
        <family val="2"/>
        <scheme val="minor"/>
      </rPr>
      <t>C-AUX</t>
    </r>
    <r>
      <rPr>
        <b/>
        <sz val="11"/>
        <color theme="1"/>
        <rFont val="Calibri"/>
        <family val="2"/>
        <scheme val="minor"/>
      </rPr>
      <t>:</t>
    </r>
  </si>
  <si>
    <r>
      <t>I</t>
    </r>
    <r>
      <rPr>
        <b/>
        <vertAlign val="subscript"/>
        <sz val="11"/>
        <color theme="1"/>
        <rFont val="Calibri"/>
        <family val="2"/>
        <scheme val="minor"/>
      </rPr>
      <t>AUX FUSE</t>
    </r>
    <r>
      <rPr>
        <b/>
        <sz val="11"/>
        <color theme="1"/>
        <rFont val="Calibri"/>
        <family val="2"/>
        <scheme val="minor"/>
      </rPr>
      <t xml:space="preserve"> </t>
    </r>
    <r>
      <rPr>
        <sz val="11"/>
        <color theme="1"/>
        <rFont val="Calibri"/>
        <family val="2"/>
        <scheme val="minor"/>
      </rPr>
      <t>(Minimum Fuse Rating):</t>
    </r>
  </si>
  <si>
    <t>Aux Cap Capacitance (per phase):</t>
  </si>
  <si>
    <r>
      <t>V</t>
    </r>
    <r>
      <rPr>
        <b/>
        <vertAlign val="subscript"/>
        <sz val="11"/>
        <color theme="1"/>
        <rFont val="Calibri"/>
        <family val="2"/>
        <scheme val="minor"/>
      </rPr>
      <t>CAP AUX FUNDAMENTAL VOLTAGE</t>
    </r>
    <r>
      <rPr>
        <b/>
        <sz val="11"/>
        <color theme="1"/>
        <rFont val="Calibri"/>
        <family val="2"/>
        <scheme val="minor"/>
      </rPr>
      <t>:</t>
    </r>
  </si>
  <si>
    <r>
      <rPr>
        <sz val="11"/>
        <color theme="1"/>
        <rFont val="Calibri"/>
        <family val="2"/>
      </rPr>
      <t>µ</t>
    </r>
    <r>
      <rPr>
        <sz val="11"/>
        <color theme="1"/>
        <rFont val="Calibri"/>
        <family val="2"/>
        <scheme val="minor"/>
      </rPr>
      <t>f</t>
    </r>
  </si>
  <si>
    <r>
      <t>V</t>
    </r>
    <r>
      <rPr>
        <b/>
        <vertAlign val="subscript"/>
        <sz val="11"/>
        <color theme="1"/>
        <rFont val="Calibri"/>
        <family val="2"/>
        <scheme val="minor"/>
      </rPr>
      <t>CAP AUX RMS VOLTAGE</t>
    </r>
    <r>
      <rPr>
        <b/>
        <sz val="11"/>
        <color theme="1"/>
        <rFont val="Calibri"/>
        <family val="2"/>
        <scheme val="minor"/>
      </rPr>
      <t>:</t>
    </r>
  </si>
  <si>
    <r>
      <t>V</t>
    </r>
    <r>
      <rPr>
        <b/>
        <vertAlign val="subscript"/>
        <sz val="11"/>
        <color theme="1"/>
        <rFont val="Calibri"/>
        <family val="2"/>
        <scheme val="minor"/>
      </rPr>
      <t>CAP AUX PEAK CAP VOLTAGE</t>
    </r>
    <r>
      <rPr>
        <b/>
        <sz val="11"/>
        <color theme="1"/>
        <rFont val="Calibri"/>
        <family val="2"/>
        <scheme val="minor"/>
      </rPr>
      <t>:</t>
    </r>
  </si>
  <si>
    <r>
      <t>I</t>
    </r>
    <r>
      <rPr>
        <b/>
        <vertAlign val="subscript"/>
        <sz val="11"/>
        <color theme="1"/>
        <rFont val="Calibri"/>
        <family val="2"/>
        <scheme val="minor"/>
      </rPr>
      <t>CAP AUX RMS CURRENT</t>
    </r>
    <r>
      <rPr>
        <b/>
        <sz val="11"/>
        <color theme="1"/>
        <rFont val="Calibri"/>
        <family val="2"/>
        <scheme val="minor"/>
      </rPr>
      <t>:</t>
    </r>
  </si>
  <si>
    <r>
      <t>I</t>
    </r>
    <r>
      <rPr>
        <b/>
        <vertAlign val="subscript"/>
        <sz val="11"/>
        <color theme="1"/>
        <rFont val="Calibri"/>
        <family val="2"/>
        <scheme val="minor"/>
      </rPr>
      <t xml:space="preserve">aux Capacitor
</t>
    </r>
    <r>
      <rPr>
        <b/>
        <sz val="11"/>
        <color theme="1"/>
        <rFont val="Calibri"/>
        <family val="2"/>
        <scheme val="minor"/>
      </rPr>
      <t xml:space="preserve"> and
I</t>
    </r>
    <r>
      <rPr>
        <b/>
        <vertAlign val="subscript"/>
        <sz val="11"/>
        <color theme="1"/>
        <rFont val="Calibri"/>
        <family val="2"/>
        <scheme val="minor"/>
      </rPr>
      <t xml:space="preserve">REACTOR CURRENT  </t>
    </r>
    <r>
      <rPr>
        <b/>
        <sz val="11"/>
        <color theme="1"/>
        <rFont val="Calibri"/>
        <family val="2"/>
        <scheme val="minor"/>
      </rPr>
      <t>(amps)</t>
    </r>
  </si>
  <si>
    <r>
      <t>V</t>
    </r>
    <r>
      <rPr>
        <b/>
        <vertAlign val="subscript"/>
        <sz val="11"/>
        <color theme="1"/>
        <rFont val="Calibri"/>
        <family val="2"/>
        <scheme val="minor"/>
      </rPr>
      <t xml:space="preserve">CAP MAIN 
</t>
    </r>
    <r>
      <rPr>
        <b/>
        <sz val="11"/>
        <color theme="1"/>
        <rFont val="Calibri"/>
        <family val="2"/>
        <scheme val="minor"/>
      </rPr>
      <t xml:space="preserve"> Voltage
(volts)</t>
    </r>
  </si>
  <si>
    <r>
      <t>V</t>
    </r>
    <r>
      <rPr>
        <b/>
        <vertAlign val="subscript"/>
        <sz val="11"/>
        <color theme="1"/>
        <rFont val="Calibri"/>
        <family val="2"/>
        <scheme val="minor"/>
      </rPr>
      <t xml:space="preserve">CAP AUX 
</t>
    </r>
    <r>
      <rPr>
        <b/>
        <sz val="11"/>
        <color theme="1"/>
        <rFont val="Calibri"/>
        <family val="2"/>
        <scheme val="minor"/>
      </rPr>
      <t xml:space="preserve"> Voltage
(volts)</t>
    </r>
  </si>
  <si>
    <r>
      <t>I</t>
    </r>
    <r>
      <rPr>
        <b/>
        <vertAlign val="subscript"/>
        <sz val="11"/>
        <color theme="1"/>
        <rFont val="Calibri"/>
        <family val="2"/>
        <scheme val="minor"/>
      </rPr>
      <t xml:space="preserve">RESISTOR CURRENT 
 </t>
    </r>
    <r>
      <rPr>
        <b/>
        <sz val="11"/>
        <color theme="1"/>
        <rFont val="Calibri"/>
        <family val="2"/>
        <scheme val="minor"/>
      </rPr>
      <t>(amps)</t>
    </r>
  </si>
  <si>
    <t xml:space="preserve">  </t>
  </si>
  <si>
    <t>C-High-Pass</t>
  </si>
  <si>
    <t>Main Capacitor Losses:</t>
  </si>
  <si>
    <t>Main Capacitor Fuse Losses:</t>
  </si>
  <si>
    <t>Aux Capacitor Losses :</t>
  </si>
  <si>
    <t>Aux Capacitor Fuse Losses:</t>
  </si>
  <si>
    <t>reactor RMS amps (for supplier with margin)</t>
  </si>
  <si>
    <t>Main Capacitor Group Specification</t>
  </si>
  <si>
    <t>Main capacitor RMS voltage (fundamental voltage + harmonic voltages)</t>
  </si>
  <si>
    <r>
      <t>X</t>
    </r>
    <r>
      <rPr>
        <b/>
        <vertAlign val="subscript"/>
        <sz val="11"/>
        <color theme="1"/>
        <rFont val="Calibri"/>
        <family val="2"/>
        <scheme val="minor"/>
      </rPr>
      <t>CA</t>
    </r>
  </si>
  <si>
    <r>
      <t>X</t>
    </r>
    <r>
      <rPr>
        <b/>
        <vertAlign val="subscript"/>
        <sz val="11"/>
        <color theme="1"/>
        <rFont val="Calibri"/>
        <family val="2"/>
        <scheme val="minor"/>
      </rPr>
      <t>CM</t>
    </r>
  </si>
  <si>
    <t>Capacitive reactance of main capacitor group (ohm/phase)</t>
  </si>
  <si>
    <t>One-Line Diagram
C-High-Pass Filter Design Parameters</t>
  </si>
  <si>
    <t>kvar (single phase) MAIN CAP</t>
  </si>
  <si>
    <t>Table below handles the aux capacitor, inductor and resistor for loss, voltage, and rms calculations</t>
  </si>
  <si>
    <r>
      <t>R, X</t>
    </r>
    <r>
      <rPr>
        <vertAlign val="subscript"/>
        <sz val="11"/>
        <color theme="1"/>
        <rFont val="Calibri"/>
        <family val="2"/>
        <scheme val="minor"/>
      </rPr>
      <t>L</t>
    </r>
    <r>
      <rPr>
        <sz val="11"/>
        <color theme="1"/>
        <rFont val="Calibri"/>
        <family val="2"/>
        <scheme val="minor"/>
      </rPr>
      <t>, X</t>
    </r>
    <r>
      <rPr>
        <vertAlign val="subscript"/>
        <sz val="11"/>
        <color theme="1"/>
        <rFont val="Calibri"/>
        <family val="2"/>
        <scheme val="minor"/>
      </rPr>
      <t>CA</t>
    </r>
    <r>
      <rPr>
        <sz val="11"/>
        <color theme="1"/>
        <rFont val="Calibri"/>
        <family val="2"/>
        <scheme val="minor"/>
      </rPr>
      <t xml:space="preserve"> EQUIVALENT IMPEDANCE (ohms)</t>
    </r>
  </si>
  <si>
    <t>Voltage Across Resistor (volts)</t>
  </si>
  <si>
    <t>I REACTOR &amp; AUX CAP (AMPS)</t>
  </si>
  <si>
    <t>I RESISTOR (amps)</t>
  </si>
  <si>
    <t>I RESISTOR^2</t>
  </si>
  <si>
    <t>Resistor losses (kW)</t>
  </si>
  <si>
    <t>Vcap aux Harmonic Voltage</t>
  </si>
  <si>
    <t>Vcap aux harmonic voltage^2</t>
  </si>
  <si>
    <t>(I REACTOR &amp; AUX CAP)^2</t>
  </si>
  <si>
    <t>KVAR (SINGLE PHASE) AUX CAP</t>
  </si>
  <si>
    <r>
      <t>I</t>
    </r>
    <r>
      <rPr>
        <vertAlign val="superscript"/>
        <sz val="11"/>
        <color theme="1"/>
        <rFont val="Calibri"/>
        <family val="2"/>
        <scheme val="minor"/>
      </rPr>
      <t>2</t>
    </r>
    <r>
      <rPr>
        <sz val="11"/>
        <color theme="1"/>
        <rFont val="Calibri"/>
        <family val="2"/>
        <scheme val="minor"/>
      </rPr>
      <t>R REACTOR LOSSES</t>
    </r>
  </si>
  <si>
    <t>Notch Filter Reverse Filter Calculator Tool</t>
  </si>
  <si>
    <t>November 25, 2025</t>
  </si>
  <si>
    <t>📜 PURPOSE OF REVERSE CALCULATORS</t>
  </si>
  <si>
    <t>VarStec uses the Notch Filter reverse filter calculator tool to back into filter designs when only inductance (L) and capacitance (C) are specified. A reverse calculator provides the more usual filter rating details to allow for a complete filter design where reactive power (kvar), tuning point (h), and system voltage (kVLLSYS) are specified.</t>
  </si>
  <si>
    <t>📜 REVERSE CALCULATOR</t>
  </si>
  <si>
    <t>HP Filter Reverse Calculation Using C and L</t>
  </si>
  <si>
    <r>
      <rPr>
        <b/>
        <sz val="11"/>
        <color theme="1"/>
        <rFont val="Calibri"/>
        <family val="2"/>
        <scheme val="minor"/>
      </rPr>
      <t>C</t>
    </r>
    <r>
      <rPr>
        <sz val="11"/>
        <color theme="1"/>
        <rFont val="Calibri"/>
        <family val="2"/>
        <scheme val="minor"/>
      </rPr>
      <t xml:space="preserve"> (Capacitance - Main Group):</t>
    </r>
  </si>
  <si>
    <t>(µf)/Phase)</t>
  </si>
  <si>
    <r>
      <t>H</t>
    </r>
    <r>
      <rPr>
        <b/>
        <vertAlign val="subscript"/>
        <sz val="11"/>
        <color theme="1"/>
        <rFont val="Calibri"/>
        <family val="2"/>
        <scheme val="minor"/>
      </rPr>
      <t>L</t>
    </r>
    <r>
      <rPr>
        <b/>
        <sz val="11"/>
        <color theme="1"/>
        <rFont val="Calibri"/>
        <family val="2"/>
        <scheme val="minor"/>
      </rPr>
      <t xml:space="preserve"> </t>
    </r>
    <r>
      <rPr>
        <sz val="11"/>
        <color theme="1"/>
        <rFont val="Calibri"/>
        <family val="2"/>
        <scheme val="minor"/>
      </rPr>
      <t>(Inductance of tuning reactor)</t>
    </r>
    <r>
      <rPr>
        <b/>
        <sz val="11"/>
        <color theme="1"/>
        <rFont val="Calibri"/>
        <family val="2"/>
        <scheme val="minor"/>
      </rPr>
      <t>:</t>
    </r>
  </si>
  <si>
    <r>
      <t>X</t>
    </r>
    <r>
      <rPr>
        <b/>
        <vertAlign val="subscript"/>
        <sz val="12"/>
        <color theme="1"/>
        <rFont val="Calibri"/>
        <family val="2"/>
        <scheme val="minor"/>
      </rPr>
      <t>L</t>
    </r>
    <r>
      <rPr>
        <b/>
        <sz val="12"/>
        <color theme="1"/>
        <rFont val="Calibri"/>
        <family val="2"/>
        <scheme val="minor"/>
      </rPr>
      <t xml:space="preserve"> </t>
    </r>
    <r>
      <rPr>
        <sz val="12"/>
        <color theme="1"/>
        <rFont val="Calibri"/>
        <family val="2"/>
        <scheme val="minor"/>
      </rPr>
      <t>(Inductive Reactance)</t>
    </r>
    <r>
      <rPr>
        <b/>
        <sz val="12"/>
        <color theme="1"/>
        <rFont val="Calibri"/>
        <family val="2"/>
        <scheme val="minor"/>
      </rPr>
      <t>:</t>
    </r>
  </si>
  <si>
    <t>Ohms/phase</t>
  </si>
  <si>
    <r>
      <t xml:space="preserve">h </t>
    </r>
    <r>
      <rPr>
        <sz val="12"/>
        <color theme="1"/>
        <rFont val="Calibri"/>
        <family val="2"/>
        <scheme val="minor"/>
      </rPr>
      <t>(Tuning Point)</t>
    </r>
    <r>
      <rPr>
        <b/>
        <sz val="12"/>
        <color theme="1"/>
        <rFont val="Calibri"/>
        <family val="2"/>
        <scheme val="minor"/>
      </rPr>
      <t>:</t>
    </r>
  </si>
  <si>
    <r>
      <t>Q</t>
    </r>
    <r>
      <rPr>
        <b/>
        <vertAlign val="subscript"/>
        <sz val="12"/>
        <color theme="1"/>
        <rFont val="Calibri"/>
        <family val="2"/>
        <scheme val="minor"/>
      </rPr>
      <t>eff</t>
    </r>
    <r>
      <rPr>
        <sz val="12"/>
        <color theme="1"/>
        <rFont val="Calibri"/>
        <family val="2"/>
        <scheme val="minor"/>
      </rPr>
      <t>(3-Phase Reactive Power Output of Filter):</t>
    </r>
  </si>
  <si>
    <t>MVAR (3-phase)</t>
  </si>
  <si>
    <t>Notch Filter One-Line</t>
  </si>
  <si>
    <t>VarStec uses the High-Pass reverse filter calculator tool to back into filter designs when only inductance (L) and capacitance (C) are specified. A reverse calculator provides the more usual filter rating details to allow for a complete filter design where reactive power (kvar), tuning point (h), and system voltage (kVLLSYS) are specified.</t>
  </si>
  <si>
    <t>R (High-Pass Resistor Resistance):</t>
  </si>
  <si>
    <r>
      <t xml:space="preserve">DF </t>
    </r>
    <r>
      <rPr>
        <sz val="12"/>
        <color theme="1"/>
        <rFont val="Calibri"/>
        <family val="2"/>
        <scheme val="minor"/>
      </rPr>
      <t>(Damping Factor):</t>
    </r>
  </si>
  <si>
    <t>High-Pass Filter One-Line</t>
  </si>
  <si>
    <r>
      <t>VarStec uses the C-High-Pass reverse filter calculator tool to back into filter designs when only inductance (L) and capacitances (C</t>
    </r>
    <r>
      <rPr>
        <vertAlign val="subscript"/>
        <sz val="11"/>
        <color theme="1"/>
        <rFont val="Calibri"/>
        <family val="2"/>
        <scheme val="minor"/>
      </rPr>
      <t>AUX</t>
    </r>
    <r>
      <rPr>
        <sz val="11"/>
        <color theme="1"/>
        <rFont val="Calibri"/>
        <family val="2"/>
        <scheme val="minor"/>
      </rPr>
      <t xml:space="preserve"> and C</t>
    </r>
    <r>
      <rPr>
        <vertAlign val="subscript"/>
        <sz val="11"/>
        <color theme="1"/>
        <rFont val="Calibri"/>
        <family val="2"/>
        <scheme val="minor"/>
      </rPr>
      <t>MAIN</t>
    </r>
    <r>
      <rPr>
        <sz val="11"/>
        <color theme="1"/>
        <rFont val="Calibri"/>
        <family val="2"/>
        <scheme val="minor"/>
      </rPr>
      <t>) are specified. A reverse calculator provides the more usual filter rating details to allow for a complete filter design where reactive power (kvar), tuning point (h), and system voltage (kVLLSYS) are specified.</t>
    </r>
  </si>
  <si>
    <r>
      <t>C-HP Filter Reverse Calculation Using C</t>
    </r>
    <r>
      <rPr>
        <vertAlign val="subscript"/>
        <sz val="16"/>
        <color rgb="FF0E9ED9"/>
        <rFont val="Calibri"/>
        <family val="2"/>
        <scheme val="minor"/>
      </rPr>
      <t>AUX</t>
    </r>
    <r>
      <rPr>
        <sz val="16"/>
        <color rgb="FF0E9ED9"/>
        <rFont val="Calibri"/>
        <family val="2"/>
        <scheme val="minor"/>
      </rPr>
      <t>, C</t>
    </r>
    <r>
      <rPr>
        <vertAlign val="subscript"/>
        <sz val="16"/>
        <color rgb="FF0E9ED9"/>
        <rFont val="Calibri"/>
        <family val="2"/>
        <scheme val="minor"/>
      </rPr>
      <t>MAIN</t>
    </r>
    <r>
      <rPr>
        <sz val="16"/>
        <color rgb="FF0E9ED9"/>
        <rFont val="Calibri"/>
        <family val="2"/>
        <scheme val="minor"/>
      </rPr>
      <t>, and L</t>
    </r>
  </si>
  <si>
    <r>
      <rPr>
        <b/>
        <sz val="11"/>
        <color theme="1"/>
        <rFont val="Calibri"/>
        <family val="2"/>
        <scheme val="minor"/>
      </rPr>
      <t>C</t>
    </r>
    <r>
      <rPr>
        <b/>
        <vertAlign val="subscript"/>
        <sz val="11"/>
        <color theme="1"/>
        <rFont val="Calibri"/>
        <family val="2"/>
        <scheme val="minor"/>
      </rPr>
      <t>MAIN</t>
    </r>
    <r>
      <rPr>
        <sz val="11"/>
        <color theme="1"/>
        <rFont val="Calibri"/>
        <family val="2"/>
        <scheme val="minor"/>
      </rPr>
      <t xml:space="preserve"> (Capacitance - Main Group):</t>
    </r>
  </si>
  <si>
    <r>
      <t>X</t>
    </r>
    <r>
      <rPr>
        <b/>
        <vertAlign val="subscript"/>
        <sz val="12"/>
        <color theme="1"/>
        <rFont val="Calibri"/>
        <family val="2"/>
        <scheme val="minor"/>
      </rPr>
      <t xml:space="preserve">C-AUX </t>
    </r>
    <r>
      <rPr>
        <sz val="12"/>
        <color theme="1"/>
        <rFont val="Calibri"/>
        <family val="2"/>
        <scheme val="minor"/>
      </rPr>
      <t>(Capacitive Reactance, Aux Group)</t>
    </r>
    <r>
      <rPr>
        <b/>
        <sz val="12"/>
        <color theme="1"/>
        <rFont val="Calibri"/>
        <family val="2"/>
        <scheme val="minor"/>
      </rPr>
      <t>:</t>
    </r>
  </si>
  <si>
    <t>C-High-Pass Filter One-Line</t>
  </si>
  <si>
    <t>Damping Factor is R/XLn at the tuning harmonic number (hn), where XLn=XL x hn</t>
  </si>
  <si>
    <t>Sheet Rev Date: 1-11-2026</t>
  </si>
  <si>
    <t>Harmonic Filter Design Workbook Overview and Purpose</t>
  </si>
  <si>
    <t>High-Pass
Filter</t>
  </si>
  <si>
    <t>Notch
Filter</t>
  </si>
  <si>
    <t>C-High-Pass
Filter</t>
  </si>
  <si>
    <t>Harmonic Filter Design Workbook, Overview and Purpose</t>
  </si>
  <si>
    <t>Disclaimer and Use Limitation</t>
  </si>
  <si>
    <t>This spreadsheet is provided for preliminary engineering evaluation only. The calculations are based on simplified, steady-state models and user-supplied input data and are intended to support initial screening, comparative analysis, and conceptual design.  It is intended for use only by qualified technical professionals and should not be used as a substitute for detailed engineering studies, manufacturer-validated analyses, or final design verification. VarStec Power Solutions, LLC makes no representations or warranties, express or implied, and assumes no responsibility or liability for decisions or actions taken based on use of this tool.</t>
  </si>
  <si>
    <t xml:space="preserve">Rev 1 - </t>
  </si>
  <si>
    <t>Xc</t>
  </si>
  <si>
    <t>No Aux… rounded to 0</t>
  </si>
  <si>
    <t xml:space="preserve">XL </t>
  </si>
  <si>
    <t>Resistance set to infinite</t>
  </si>
  <si>
    <t>Xc+XL</t>
  </si>
  <si>
    <t>RES Branch + Aux branch</t>
  </si>
  <si>
    <t>(Resistance Branch) X (Aux Branch)</t>
  </si>
  <si>
    <t>Parallel Sum of Aux  and Resistance Branch</t>
  </si>
  <si>
    <t>+ Main Cap</t>
  </si>
  <si>
    <t>SD - Standard Duty Capacitors</t>
  </si>
  <si>
    <t>HD- Heavy Duty Capacitors</t>
  </si>
  <si>
    <t>EXD - Extreme Duty Capacitors</t>
  </si>
  <si>
    <t>IMPEDANCE TABLE</t>
  </si>
  <si>
    <t>Resistance x AUX Branch</t>
  </si>
  <si>
    <t>RES Branch + AUX Branch</t>
  </si>
  <si>
    <t>Parallel Sum of AUX and Resistance Branch</t>
  </si>
  <si>
    <t>+ Main Caps</t>
  </si>
  <si>
    <t>Resistance branch x AUX Branch</t>
  </si>
  <si>
    <t>Resistance Branch + Aux Branch</t>
  </si>
  <si>
    <t>Parallel Sum of Resistance Branch and AUX Branch</t>
  </si>
  <si>
    <t>+ Main Capacitor Branch</t>
  </si>
  <si>
    <t>HD- Heavy Duty Capacitor</t>
  </si>
  <si>
    <t>Impedance Calculations</t>
  </si>
  <si>
    <t>f</t>
  </si>
  <si>
    <t>Rev Date: 4-19-2026</t>
  </si>
  <si>
    <r>
      <t>Q</t>
    </r>
    <r>
      <rPr>
        <b/>
        <vertAlign val="subscript"/>
        <sz val="11"/>
        <color theme="1"/>
        <rFont val="Calibri"/>
        <family val="2"/>
        <scheme val="minor"/>
      </rPr>
      <t>AUX CAPACITOR (1-phase)</t>
    </r>
    <r>
      <rPr>
        <b/>
        <sz val="11"/>
        <color theme="1"/>
        <rFont val="Calibri"/>
        <family val="2"/>
        <scheme val="minor"/>
      </rPr>
      <t>:</t>
    </r>
  </si>
  <si>
    <t>Auxiliary Capacitor Group Design Ratings Versus Duty Rating</t>
  </si>
  <si>
    <t>Auxiliary Capacitor Group Rating Details</t>
  </si>
  <si>
    <t>Auxiliary Capacitor Group Specification</t>
  </si>
  <si>
    <t>Capacitive reactance of auxiliary capacitor group (ohms/phase)</t>
  </si>
  <si>
    <t>Harmonic Filter Design / High-Pass (HP) Type</t>
  </si>
  <si>
    <t>Harmonic Filter Design / C-High-Pass (C-HP) Type</t>
  </si>
  <si>
    <t>VarStec Power Solutions, Inc.</t>
  </si>
  <si>
    <t>CAUX (Capacitance - Auxiliary Group):</t>
  </si>
  <si>
    <t>NAUX (Number of Auxiliary Capacitors Per Phase):</t>
  </si>
  <si>
    <t>XC (capacitive Reactance, Main Group):</t>
  </si>
  <si>
    <t>XC-MAIN (capacitive Reactance, Main Group):</t>
  </si>
  <si>
    <t>Capacitor RMS voltage including harmonics</t>
  </si>
  <si>
    <t>Capacitor peak voltage, including harmonics, and assuming peaks are in phase.</t>
  </si>
  <si>
    <t>Capacitor (main group) RMS voltage including harmonics</t>
  </si>
  <si>
    <t>Capacitor (main group) peak voltage, including harmonics, and assuming peaks are in phase.</t>
  </si>
  <si>
    <t>High-Pass Resistor specification</t>
  </si>
  <si>
    <r>
      <t>I</t>
    </r>
    <r>
      <rPr>
        <vertAlign val="subscript"/>
        <sz val="11"/>
        <color theme="1"/>
        <rFont val="Calibri"/>
        <family val="2"/>
        <scheme val="minor"/>
      </rPr>
      <t>MAIN FUSE</t>
    </r>
    <r>
      <rPr>
        <b/>
        <sz val="11"/>
        <color theme="1"/>
        <rFont val="Calibri"/>
        <family val="2"/>
        <scheme val="minor"/>
      </rPr>
      <t xml:space="preserve"> </t>
    </r>
    <r>
      <rPr>
        <sz val="11"/>
        <color theme="1"/>
        <rFont val="Calibri"/>
        <family val="2"/>
        <scheme val="minor"/>
      </rPr>
      <t>(Minimum Fuse Rating):</t>
    </r>
  </si>
  <si>
    <t>Reactor Henry rating (millihenries)</t>
  </si>
  <si>
    <t>Tuning Reactor Henry rating (millihenries)</t>
  </si>
  <si>
    <t>The below shows how a 1000 kvar 13.8kV 4.7th tuned HP Filter Design is computed manually and is the basis this spreadsheet.</t>
  </si>
  <si>
    <t>The below shows how a 1000 kvar 13.8kV 4.7th tuned C-HP Filter Design is computed manually and is the basis this spreadsheet.</t>
  </si>
  <si>
    <t>The below shows how a 1000 kvar 13.8kV 4.7th tuned Notch Type Filter Design is computed manually and is the basis this spreadsheet.</t>
  </si>
  <si>
    <t>C-High-Pass (C-HP) Reverse Filter Calculator Tool</t>
  </si>
  <si>
    <t>High-Pass (HP) Reverse Filter Calculator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</si>
</sst>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
    <numFmt numFmtId="166" formatCode="0.0%"/>
    <numFmt numFmtId="167" formatCode="0.0000"/>
    <numFmt numFmtId="168" formatCode="0.0000000000"/>
    <numFmt numFmtId="169" formatCode="0.000000000"/>
  </numFmts>
  <fonts count="31" x14ac:knownFonts="1">
    <font>
      <sz val="11"/>
      <color theme="1"/>
      <name val="Calibri"/>
      <family val="2"/>
      <scheme val="minor"/>
    </font>
    <font>
      <sz val="11"/>
      <color theme="1"/>
      <name val="Calibri"/>
      <family val="2"/>
      <scheme val="minor"/>
    </font>
    <font>
      <sz val="11"/>
      <color rgb="FF3F3F76"/>
      <name val="Calibri"/>
      <family val="2"/>
      <scheme val="minor"/>
    </font>
    <font>
      <b/>
      <sz val="11"/>
      <color theme="1"/>
      <name val="Calibri"/>
      <family val="2"/>
      <scheme val="minor"/>
    </font>
    <font>
      <b/>
      <sz val="11"/>
      <color rgb="FF0E9ED9"/>
      <name val="Calibri"/>
      <family val="2"/>
      <scheme val="minor"/>
    </font>
    <font>
      <b/>
      <sz val="14"/>
      <color rgb="FF0E9ED9"/>
      <name val="Calibri"/>
      <family val="2"/>
      <scheme val="minor"/>
    </font>
    <font>
      <b/>
      <sz val="14"/>
      <color theme="1"/>
      <name val="Calibri"/>
      <family val="2"/>
      <scheme val="minor"/>
    </font>
    <font>
      <sz val="16"/>
      <color theme="1"/>
      <name val="Calibri"/>
      <family val="2"/>
      <scheme val="minor"/>
    </font>
    <font>
      <sz val="11"/>
      <color rgb="FF0E9ED9"/>
      <name val="Calibri"/>
      <family val="2"/>
      <scheme val="minor"/>
    </font>
    <font>
      <b/>
      <vertAlign val="subscript"/>
      <sz val="11"/>
      <color theme="1"/>
      <name val="Calibri"/>
      <family val="2"/>
      <scheme val="minor"/>
    </font>
    <font>
      <vertAlign val="subscript"/>
      <sz val="11"/>
      <color theme="1"/>
      <name val="Calibri"/>
      <family val="2"/>
      <scheme val="minor"/>
    </font>
    <font>
      <sz val="11"/>
      <color theme="1"/>
      <name val="Calibri"/>
      <family val="2"/>
    </font>
    <font>
      <sz val="11"/>
      <name val="Calibri"/>
      <family val="2"/>
      <scheme val="minor"/>
    </font>
    <font>
      <b/>
      <i/>
      <sz val="11"/>
      <color theme="1"/>
      <name val="Calibri"/>
      <family val="2"/>
      <scheme val="minor"/>
    </font>
    <font>
      <b/>
      <i/>
      <vertAlign val="subscript"/>
      <sz val="11"/>
      <color theme="1"/>
      <name val="Calibri"/>
      <family val="2"/>
      <scheme val="minor"/>
    </font>
    <font>
      <b/>
      <sz val="12"/>
      <color rgb="FF0E9ED9"/>
      <name val="Calibri"/>
      <family val="2"/>
      <scheme val="minor"/>
    </font>
    <font>
      <b/>
      <vertAlign val="subscript"/>
      <sz val="14"/>
      <color theme="1"/>
      <name val="Calibri"/>
      <family val="2"/>
      <scheme val="minor"/>
    </font>
    <font>
      <vertAlign val="subscript"/>
      <sz val="14"/>
      <color theme="1"/>
      <name val="Calibri"/>
      <family val="2"/>
      <scheme val="minor"/>
    </font>
    <font>
      <u/>
      <sz val="11"/>
      <color theme="10"/>
      <name val="Calibri"/>
      <family val="2"/>
      <scheme val="minor"/>
    </font>
    <font>
      <sz val="11"/>
      <color theme="0" tint="-0.14999847407452621"/>
      <name val="Calibri"/>
      <family val="2"/>
      <scheme val="minor"/>
    </font>
    <font>
      <b/>
      <sz val="16"/>
      <color theme="1"/>
      <name val="Calibri"/>
      <family val="2"/>
      <scheme val="minor"/>
    </font>
    <font>
      <vertAlign val="superscript"/>
      <sz val="11"/>
      <color theme="1"/>
      <name val="Calibri"/>
      <family val="2"/>
      <scheme val="minor"/>
    </font>
    <font>
      <b/>
      <vertAlign val="subscript"/>
      <sz val="12"/>
      <color theme="1"/>
      <name val="Calibri"/>
      <family val="2"/>
      <scheme val="minor"/>
    </font>
    <font>
      <b/>
      <sz val="12"/>
      <color theme="1"/>
      <name val="Calibri"/>
      <family val="2"/>
      <scheme val="minor"/>
    </font>
    <font>
      <sz val="12"/>
      <color theme="1"/>
      <name val="Calibri"/>
      <family val="2"/>
      <scheme val="minor"/>
    </font>
    <font>
      <sz val="16"/>
      <color rgb="FF0E9ED9"/>
      <name val="Calibri"/>
      <family val="2"/>
      <scheme val="minor"/>
    </font>
    <font>
      <vertAlign val="subscript"/>
      <sz val="16"/>
      <color rgb="FF0E9ED9"/>
      <name val="Calibri"/>
      <family val="2"/>
      <scheme val="minor"/>
    </font>
    <font>
      <b/>
      <sz val="16"/>
      <color rgb="FF0E9ED9"/>
      <name val="Calibri"/>
      <family val="2"/>
      <scheme val="minor"/>
    </font>
    <font>
      <i/>
      <sz val="10"/>
      <color theme="0" tint="-0.14999847407452621"/>
      <name val="Calibri"/>
      <family val="2"/>
      <scheme val="minor"/>
    </font>
    <font>
      <b/>
      <sz val="14"/>
      <color rgb="FF00B0F0"/>
      <name val="Calibri"/>
      <family val="2"/>
      <scheme val="minor"/>
    </font>
    <font>
      <sz val="10"/>
      <color theme="1"/>
      <name val="Calibri"/>
      <family val="2"/>
      <scheme val="minor"/>
    </font>
  </fonts>
  <fills count="7">
    <fill>
      <patternFill patternType="none"/>
    </fill>
    <fill>
      <patternFill patternType="gray125"/>
    </fill>
    <fill>
      <patternFill patternType="solid">
        <fgColor rgb="FFFFCC99"/>
      </patternFill>
    </fill>
    <fill>
      <patternFill patternType="solid">
        <fgColor rgb="FFFFFFCC"/>
      </patternFill>
    </fill>
    <fill>
      <patternFill patternType="solid">
        <fgColor theme="4" tint="0.79998168889431442"/>
        <bgColor indexed="65"/>
      </patternFill>
    </fill>
    <fill>
      <patternFill patternType="solid">
        <fgColor rgb="FFB8E7FA"/>
        <bgColor indexed="64"/>
      </patternFill>
    </fill>
    <fill>
      <patternFill patternType="solid">
        <fgColor theme="0"/>
        <bgColor indexed="64"/>
      </patternFill>
    </fill>
  </fills>
  <borders count="31">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right/>
      <top/>
      <bottom style="medium">
        <color rgb="FFC00000"/>
      </bottom>
      <diagonal/>
    </border>
    <border>
      <left/>
      <right/>
      <top style="medium">
        <color rgb="FFC00000"/>
      </top>
      <bottom/>
      <diagonal/>
    </border>
    <border>
      <left/>
      <right/>
      <top/>
      <bottom style="thin">
        <color rgb="FFC00000"/>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style="thin">
        <color rgb="FFB2B2B2"/>
      </right>
      <top/>
      <bottom/>
      <diagonal/>
    </border>
    <border>
      <left style="thin">
        <color rgb="FFB2B2B2"/>
      </left>
      <right/>
      <top style="thin">
        <color rgb="FFC00000"/>
      </top>
      <bottom style="thin">
        <color rgb="FFB2B2B2"/>
      </bottom>
      <diagonal/>
    </border>
    <border>
      <left/>
      <right/>
      <top style="thin">
        <color rgb="FFC00000"/>
      </top>
      <bottom style="thin">
        <color rgb="FFB2B2B2"/>
      </bottom>
      <diagonal/>
    </border>
    <border>
      <left/>
      <right style="thin">
        <color rgb="FFB2B2B2"/>
      </right>
      <top style="thin">
        <color rgb="FFC00000"/>
      </top>
      <bottom style="thin">
        <color rgb="FFB2B2B2"/>
      </bottom>
      <diagonal/>
    </border>
    <border>
      <left style="thin">
        <color rgb="FFB2B2B2"/>
      </left>
      <right style="thin">
        <color rgb="FFB2B2B2"/>
      </right>
      <top/>
      <bottom style="thin">
        <color rgb="FFB2B2B2"/>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rgb="FFC00000"/>
      </left>
      <right/>
      <top/>
      <bottom style="thin">
        <color rgb="FFC00000"/>
      </bottom>
      <diagonal/>
    </border>
    <border>
      <left/>
      <right style="thin">
        <color rgb="FFC00000"/>
      </right>
      <top/>
      <bottom style="thin">
        <color rgb="FFC00000"/>
      </bottom>
      <diagonal/>
    </border>
    <border>
      <left/>
      <right/>
      <top/>
      <bottom style="double">
        <color rgb="FFC00000"/>
      </bottom>
      <diagonal/>
    </border>
    <border>
      <left/>
      <right/>
      <top style="double">
        <color rgb="FFC00000"/>
      </top>
      <bottom/>
      <diagonal/>
    </border>
    <border>
      <left/>
      <right/>
      <top style="thin">
        <color rgb="FFC00000"/>
      </top>
      <bottom style="thin">
        <color rgb="FFC00000"/>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
      <left/>
      <right/>
      <top/>
      <bottom style="thin">
        <color indexed="64"/>
      </bottom>
      <diagonal/>
    </border>
  </borders>
  <cellStyleXfs count="8">
    <xf numFmtId="0" fontId="0" fillId="0" borderId="0"/>
    <xf numFmtId="9" fontId="1" fillId="0" borderId="0" applyFont="0" applyFill="0" applyBorder="0" applyAlignment="0" applyProtection="0"/>
    <xf numFmtId="0" fontId="2" fillId="2" borderId="1" applyNumberFormat="0" applyAlignment="0" applyProtection="0"/>
    <xf numFmtId="0" fontId="1" fillId="3" borderId="2" applyNumberFormat="0" applyFont="0" applyAlignment="0" applyProtection="0"/>
    <xf numFmtId="0" fontId="3" fillId="0" borderId="3" applyNumberFormat="0" applyFill="0" applyAlignment="0" applyProtection="0"/>
    <xf numFmtId="0" fontId="1" fillId="4" borderId="0" applyNumberFormat="0" applyBorder="0" applyAlignment="0" applyProtection="0"/>
    <xf numFmtId="0" fontId="1" fillId="0" borderId="0"/>
    <xf numFmtId="0" fontId="18" fillId="0" borderId="0" applyNumberFormat="0" applyFill="0" applyBorder="0" applyAlignment="0" applyProtection="0"/>
  </cellStyleXfs>
  <cellXfs count="236">
    <xf numFmtId="0" fontId="0" fillId="0" borderId="0" xfId="0"/>
    <xf numFmtId="0" fontId="0" fillId="0" borderId="0" xfId="0" applyProtection="1">
      <protection hidden="1"/>
    </xf>
    <xf numFmtId="0" fontId="0" fillId="0" borderId="0" xfId="0" applyAlignment="1" applyProtection="1">
      <alignment horizontal="center"/>
      <protection hidden="1"/>
    </xf>
    <xf numFmtId="0" fontId="0" fillId="0" borderId="4" xfId="0" applyBorder="1" applyProtection="1">
      <protection hidden="1"/>
    </xf>
    <xf numFmtId="0" fontId="0" fillId="0" borderId="5" xfId="0" applyBorder="1" applyProtection="1">
      <protection hidden="1"/>
    </xf>
    <xf numFmtId="0" fontId="0" fillId="0" borderId="6" xfId="0" applyBorder="1" applyProtection="1">
      <protection hidden="1"/>
    </xf>
    <xf numFmtId="0" fontId="0" fillId="0" borderId="7" xfId="0" applyBorder="1" applyProtection="1">
      <protection hidden="1"/>
    </xf>
    <xf numFmtId="0" fontId="4" fillId="0" borderId="0" xfId="0" applyFont="1" applyAlignment="1" applyProtection="1">
      <alignment horizontal="right" vertical="center"/>
      <protection hidden="1"/>
    </xf>
    <xf numFmtId="0" fontId="0" fillId="0" borderId="8" xfId="0" applyBorder="1" applyProtection="1">
      <protection hidden="1"/>
    </xf>
    <xf numFmtId="0" fontId="0" fillId="0" borderId="0" xfId="0" applyAlignment="1" applyProtection="1">
      <alignment horizontal="right" vertical="center"/>
      <protection hidden="1"/>
    </xf>
    <xf numFmtId="0" fontId="0" fillId="0" borderId="9" xfId="0" applyBorder="1" applyProtection="1">
      <protection hidden="1"/>
    </xf>
    <xf numFmtId="0" fontId="0" fillId="0" borderId="9" xfId="0" applyBorder="1" applyAlignment="1" applyProtection="1">
      <alignment horizontal="right" vertical="center"/>
      <protection hidden="1"/>
    </xf>
    <xf numFmtId="164" fontId="0" fillId="0" borderId="0" xfId="0" applyNumberFormat="1" applyProtection="1">
      <protection hidden="1"/>
    </xf>
    <xf numFmtId="164" fontId="0" fillId="0" borderId="0" xfId="0" applyNumberFormat="1" applyAlignment="1" applyProtection="1">
      <alignment horizontal="center"/>
      <protection hidden="1"/>
    </xf>
    <xf numFmtId="165" fontId="0" fillId="0" borderId="0" xfId="0" applyNumberFormat="1" applyAlignment="1" applyProtection="1">
      <alignment horizontal="center"/>
      <protection hidden="1"/>
    </xf>
    <xf numFmtId="1"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 fillId="0" borderId="0" xfId="0" applyFont="1" applyProtection="1">
      <protection hidden="1"/>
    </xf>
    <xf numFmtId="0" fontId="7" fillId="0" borderId="0" xfId="0" applyFont="1" applyProtection="1">
      <protection hidden="1"/>
    </xf>
    <xf numFmtId="0" fontId="8" fillId="0" borderId="7" xfId="0" applyFont="1" applyBorder="1" applyAlignment="1" applyProtection="1">
      <alignment vertical="center"/>
      <protection hidden="1"/>
    </xf>
    <xf numFmtId="0" fontId="4" fillId="0" borderId="0" xfId="0" applyFont="1" applyProtection="1">
      <protection hidden="1"/>
    </xf>
    <xf numFmtId="0" fontId="4" fillId="0" borderId="0" xfId="0" applyFont="1" applyAlignment="1" applyProtection="1">
      <alignment vertical="center"/>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14" fontId="0" fillId="0" borderId="0" xfId="0" applyNumberFormat="1" applyAlignment="1" applyProtection="1">
      <alignment vertical="center"/>
      <protection hidden="1"/>
    </xf>
    <xf numFmtId="14" fontId="0" fillId="0" borderId="0" xfId="0" applyNumberFormat="1" applyAlignment="1" applyProtection="1">
      <alignment horizontal="right" vertical="center"/>
      <protection hidden="1"/>
    </xf>
    <xf numFmtId="0" fontId="5" fillId="0" borderId="8" xfId="0" applyFont="1" applyBorder="1" applyAlignment="1" applyProtection="1">
      <alignment vertical="center"/>
      <protection hidden="1"/>
    </xf>
    <xf numFmtId="0" fontId="0" fillId="0" borderId="7" xfId="0" applyBorder="1" applyAlignment="1" applyProtection="1">
      <alignment vertical="center"/>
      <protection hidden="1"/>
    </xf>
    <xf numFmtId="0" fontId="0" fillId="0" borderId="0" xfId="0" applyAlignment="1" applyProtection="1">
      <alignment horizontal="right"/>
      <protection hidden="1"/>
    </xf>
    <xf numFmtId="0" fontId="5" fillId="0" borderId="0" xfId="0" applyFont="1" applyProtection="1">
      <protection hidden="1"/>
    </xf>
    <xf numFmtId="0" fontId="8" fillId="0" borderId="0" xfId="0" applyFont="1" applyProtection="1">
      <protection hidden="1"/>
    </xf>
    <xf numFmtId="0" fontId="3" fillId="0" borderId="0" xfId="0" applyFont="1" applyAlignment="1" applyProtection="1">
      <alignment horizontal="right" vertical="center"/>
      <protection hidden="1"/>
    </xf>
    <xf numFmtId="0" fontId="0" fillId="0" borderId="0" xfId="0" applyAlignment="1" applyProtection="1">
      <alignment horizontal="left" vertical="center"/>
      <protection hidden="1"/>
    </xf>
    <xf numFmtId="2" fontId="0" fillId="0" borderId="0" xfId="0" applyNumberFormat="1" applyAlignment="1" applyProtection="1">
      <alignment horizontal="center"/>
      <protection hidden="1"/>
    </xf>
    <xf numFmtId="0" fontId="3" fillId="0" borderId="0" xfId="0" applyFont="1" applyAlignment="1" applyProtection="1">
      <alignment horizontal="right"/>
      <protection hidden="1"/>
    </xf>
    <xf numFmtId="0" fontId="0" fillId="0" borderId="0" xfId="3" applyFont="1" applyFill="1" applyBorder="1" applyAlignment="1" applyProtection="1">
      <alignment horizontal="left" vertical="center"/>
      <protection hidden="1"/>
    </xf>
    <xf numFmtId="0" fontId="0" fillId="0" borderId="0" xfId="3" applyFont="1" applyFill="1" applyBorder="1" applyAlignment="1" applyProtection="1">
      <alignment vertical="center"/>
      <protection hidden="1"/>
    </xf>
    <xf numFmtId="0" fontId="0" fillId="0" borderId="0" xfId="0" applyAlignment="1" applyProtection="1">
      <alignment horizontal="left"/>
      <protection hidden="1"/>
    </xf>
    <xf numFmtId="1" fontId="12" fillId="0" borderId="0" xfId="0" applyNumberFormat="1" applyFont="1" applyAlignment="1" applyProtection="1">
      <alignment vertical="center"/>
      <protection hidden="1"/>
    </xf>
    <xf numFmtId="0" fontId="0" fillId="0" borderId="0" xfId="2" applyFont="1" applyFill="1" applyBorder="1" applyProtection="1">
      <protection hidden="1"/>
    </xf>
    <xf numFmtId="0" fontId="15" fillId="0" borderId="0" xfId="0" applyFont="1" applyAlignment="1" applyProtection="1">
      <alignment horizontal="center" vertical="center"/>
      <protection hidden="1"/>
    </xf>
    <xf numFmtId="0" fontId="1" fillId="0" borderId="0" xfId="6" applyAlignment="1" applyProtection="1">
      <alignment vertical="center"/>
      <protection hidden="1"/>
    </xf>
    <xf numFmtId="0" fontId="0" fillId="0" borderId="8" xfId="0" applyBorder="1" applyAlignment="1" applyProtection="1">
      <alignment vertical="center"/>
      <protection hidden="1"/>
    </xf>
    <xf numFmtId="0" fontId="18" fillId="0" borderId="0" xfId="7" quotePrefix="1" applyBorder="1" applyProtection="1">
      <protection hidden="1"/>
    </xf>
    <xf numFmtId="0" fontId="19" fillId="0" borderId="0" xfId="0" applyFont="1" applyAlignment="1" applyProtection="1">
      <alignment horizontal="right"/>
      <protection hidden="1"/>
    </xf>
    <xf numFmtId="0" fontId="0" fillId="0" borderId="23" xfId="0" applyBorder="1" applyProtection="1">
      <protection hidden="1"/>
    </xf>
    <xf numFmtId="0" fontId="0" fillId="0" borderId="11" xfId="0" applyBorder="1" applyProtection="1">
      <protection hidden="1"/>
    </xf>
    <xf numFmtId="0" fontId="0" fillId="0" borderId="24" xfId="0" applyBorder="1" applyProtection="1">
      <protection hidden="1"/>
    </xf>
    <xf numFmtId="0" fontId="3" fillId="0" borderId="0" xfId="0" applyFont="1" applyAlignment="1" applyProtection="1">
      <alignment wrapText="1"/>
      <protection hidden="1"/>
    </xf>
    <xf numFmtId="165" fontId="0" fillId="0" borderId="0" xfId="0" applyNumberFormat="1" applyAlignment="1" applyProtection="1">
      <alignment vertical="center"/>
      <protection hidden="1"/>
    </xf>
    <xf numFmtId="164" fontId="0" fillId="0" borderId="0" xfId="0" applyNumberFormat="1" applyAlignment="1" applyProtection="1">
      <alignment horizontal="left" vertical="center"/>
      <protection hidden="1"/>
    </xf>
    <xf numFmtId="165" fontId="0" fillId="0" borderId="0" xfId="0" applyNumberFormat="1" applyAlignment="1" applyProtection="1">
      <alignment horizontal="centerContinuous" vertical="center"/>
      <protection hidden="1"/>
    </xf>
    <xf numFmtId="165" fontId="0" fillId="0" borderId="0" xfId="0" applyNumberFormat="1" applyProtection="1">
      <protection hidden="1"/>
    </xf>
    <xf numFmtId="0" fontId="0" fillId="0" borderId="0" xfId="0" applyAlignment="1" applyProtection="1">
      <alignment horizontal="left" indent="1"/>
      <protection hidden="1"/>
    </xf>
    <xf numFmtId="0" fontId="0" fillId="0" borderId="0" xfId="3" applyFont="1" applyFill="1" applyBorder="1" applyAlignment="1" applyProtection="1">
      <protection hidden="1"/>
    </xf>
    <xf numFmtId="0" fontId="20" fillId="0" borderId="0" xfId="0" applyFont="1" applyProtection="1">
      <protection hidden="1"/>
    </xf>
    <xf numFmtId="2" fontId="0" fillId="0" borderId="0" xfId="0" applyNumberFormat="1" applyProtection="1">
      <protection hidden="1"/>
    </xf>
    <xf numFmtId="0" fontId="0" fillId="0" borderId="9" xfId="0" applyBorder="1" applyAlignment="1" applyProtection="1">
      <alignment vertical="top"/>
      <protection hidden="1"/>
    </xf>
    <xf numFmtId="168" fontId="0" fillId="0" borderId="0" xfId="0" applyNumberFormat="1" applyProtection="1">
      <protection hidden="1"/>
    </xf>
    <xf numFmtId="169" fontId="0" fillId="0" borderId="0" xfId="0" applyNumberFormat="1" applyProtection="1">
      <protection hidden="1"/>
    </xf>
    <xf numFmtId="0" fontId="18" fillId="0" borderId="0" xfId="7" applyAlignment="1" applyProtection="1">
      <alignment vertical="top" wrapText="1"/>
      <protection hidden="1"/>
    </xf>
    <xf numFmtId="0" fontId="18" fillId="0" borderId="0" xfId="7" applyAlignment="1" applyProtection="1">
      <alignment vertical="top"/>
      <protection hidden="1"/>
    </xf>
    <xf numFmtId="0" fontId="0" fillId="0" borderId="30" xfId="0" applyBorder="1" applyProtection="1">
      <protection hidden="1"/>
    </xf>
    <xf numFmtId="0" fontId="23" fillId="0" borderId="0" xfId="0" applyFont="1" applyProtection="1">
      <protection hidden="1"/>
    </xf>
    <xf numFmtId="4" fontId="0" fillId="0" borderId="0" xfId="0" applyNumberFormat="1" applyAlignment="1" applyProtection="1">
      <alignment horizontal="center"/>
      <protection hidden="1"/>
    </xf>
    <xf numFmtId="0" fontId="0" fillId="0" borderId="0" xfId="0" applyAlignment="1" applyProtection="1">
      <alignment vertical="top" wrapText="1"/>
      <protection hidden="1"/>
    </xf>
    <xf numFmtId="0" fontId="23" fillId="0" borderId="0" xfId="0" applyFont="1" applyAlignment="1" applyProtection="1">
      <alignment horizontal="right"/>
      <protection hidden="1"/>
    </xf>
    <xf numFmtId="0" fontId="5" fillId="0" borderId="10" xfId="0" applyFont="1" applyBorder="1" applyAlignment="1" applyProtection="1">
      <alignment vertical="center" wrapText="1"/>
      <protection hidden="1"/>
    </xf>
    <xf numFmtId="0" fontId="5" fillId="0" borderId="0" xfId="0" applyFont="1" applyAlignment="1" applyProtection="1">
      <alignment vertical="center" wrapText="1"/>
      <protection hidden="1"/>
    </xf>
    <xf numFmtId="0" fontId="5" fillId="0" borderId="8" xfId="0" applyFont="1" applyBorder="1" applyProtection="1">
      <protection hidden="1"/>
    </xf>
    <xf numFmtId="0" fontId="28" fillId="0" borderId="11" xfId="0" applyFont="1" applyBorder="1" applyProtection="1">
      <protection hidden="1"/>
    </xf>
    <xf numFmtId="0" fontId="3" fillId="0" borderId="9" xfId="0" applyFont="1" applyBorder="1" applyProtection="1">
      <protection hidden="1"/>
    </xf>
    <xf numFmtId="0" fontId="0" fillId="0" borderId="0" xfId="0" quotePrefix="1" applyAlignment="1" applyProtection="1">
      <alignment horizontal="center"/>
      <protection hidden="1"/>
    </xf>
    <xf numFmtId="2" fontId="3" fillId="0" borderId="0" xfId="0" applyNumberFormat="1" applyFont="1" applyAlignment="1" applyProtection="1">
      <alignment horizontal="right" wrapText="1"/>
      <protection hidden="1"/>
    </xf>
    <xf numFmtId="1" fontId="0" fillId="0" borderId="0" xfId="0" applyNumberFormat="1" applyAlignment="1" applyProtection="1">
      <alignment horizontal="center" vertical="center"/>
      <protection hidden="1"/>
    </xf>
    <xf numFmtId="0" fontId="5" fillId="0" borderId="0" xfId="0" applyFont="1" applyAlignment="1" applyProtection="1">
      <alignment horizontal="center" vertical="center" wrapText="1"/>
      <protection hidden="1"/>
    </xf>
    <xf numFmtId="2" fontId="0" fillId="0" borderId="5" xfId="0" applyNumberFormat="1" applyBorder="1" applyAlignment="1" applyProtection="1">
      <alignment horizontal="center"/>
      <protection hidden="1"/>
    </xf>
    <xf numFmtId="2" fontId="0" fillId="0" borderId="0" xfId="0" applyNumberFormat="1" applyAlignment="1" applyProtection="1">
      <alignment horizontal="center"/>
      <protection hidden="1"/>
    </xf>
    <xf numFmtId="2" fontId="0" fillId="0" borderId="11" xfId="0" applyNumberFormat="1" applyBorder="1" applyAlignment="1" applyProtection="1">
      <alignment horizontal="center"/>
      <protection hidden="1"/>
    </xf>
    <xf numFmtId="0" fontId="27" fillId="0" borderId="0" xfId="0" applyFont="1" applyAlignment="1" applyProtection="1">
      <alignment horizontal="center" vertical="center" wrapText="1"/>
      <protection hidden="1"/>
    </xf>
    <xf numFmtId="0" fontId="5" fillId="0" borderId="11" xfId="0" applyFont="1" applyBorder="1" applyAlignment="1" applyProtection="1">
      <alignment horizontal="center" vertical="center"/>
      <protection hidden="1"/>
    </xf>
    <xf numFmtId="165" fontId="1" fillId="5" borderId="20" xfId="3" applyNumberFormat="1" applyFont="1" applyFill="1" applyBorder="1" applyAlignment="1" applyProtection="1">
      <alignment horizontal="center" vertical="center"/>
      <protection hidden="1"/>
    </xf>
    <xf numFmtId="165" fontId="1" fillId="5" borderId="21" xfId="3" applyNumberFormat="1" applyFont="1" applyFill="1" applyBorder="1" applyAlignment="1" applyProtection="1">
      <alignment horizontal="center" vertical="center"/>
      <protection hidden="1"/>
    </xf>
    <xf numFmtId="165" fontId="1" fillId="5" borderId="22" xfId="3" applyNumberFormat="1" applyFont="1" applyFill="1" applyBorder="1" applyAlignment="1" applyProtection="1">
      <alignment horizontal="center" vertical="center"/>
      <protection hidden="1"/>
    </xf>
    <xf numFmtId="165" fontId="0" fillId="0" borderId="0" xfId="0" applyNumberFormat="1" applyAlignment="1" applyProtection="1">
      <alignment horizontal="center"/>
      <protection hidden="1"/>
    </xf>
    <xf numFmtId="0" fontId="3" fillId="0" borderId="0" xfId="0" applyFont="1" applyAlignment="1" applyProtection="1">
      <alignment horizontal="center" vertical="center" wrapText="1"/>
      <protection hidden="1"/>
    </xf>
    <xf numFmtId="0" fontId="3" fillId="0" borderId="11" xfId="0" applyFont="1" applyBorder="1" applyAlignment="1" applyProtection="1">
      <alignment horizontal="center" vertical="center" wrapText="1"/>
      <protection hidden="1"/>
    </xf>
    <xf numFmtId="0" fontId="0" fillId="5" borderId="2" xfId="3" applyFont="1" applyFill="1" applyAlignment="1" applyProtection="1">
      <alignment horizontal="right"/>
      <protection locked="0"/>
    </xf>
    <xf numFmtId="0" fontId="3" fillId="0" borderId="0" xfId="0" applyFont="1" applyAlignment="1" applyProtection="1">
      <alignment horizontal="right" vertical="center"/>
      <protection hidden="1"/>
    </xf>
    <xf numFmtId="0" fontId="3" fillId="0" borderId="0" xfId="0" applyFont="1" applyAlignment="1" applyProtection="1">
      <alignment horizontal="center" vertical="top" wrapText="1"/>
      <protection hidden="1"/>
    </xf>
    <xf numFmtId="0" fontId="0" fillId="0" borderId="0" xfId="0" applyAlignment="1" applyProtection="1">
      <alignment horizontal="left" vertical="center" wrapText="1"/>
      <protection hidden="1"/>
    </xf>
    <xf numFmtId="0" fontId="29" fillId="0" borderId="0" xfId="0" applyFont="1" applyAlignment="1" applyProtection="1">
      <alignment horizontal="center" vertical="center"/>
      <protection hidden="1"/>
    </xf>
    <xf numFmtId="0" fontId="0" fillId="0" borderId="0" xfId="0" applyAlignment="1">
      <alignment horizontal="center" vertical="center"/>
    </xf>
    <xf numFmtId="0" fontId="30" fillId="0" borderId="0" xfId="0" applyFont="1" applyAlignment="1">
      <alignment horizontal="left" vertical="top" wrapText="1"/>
    </xf>
    <xf numFmtId="0" fontId="0" fillId="0" borderId="5"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5" fillId="0" borderId="11" xfId="0" applyFont="1" applyBorder="1" applyAlignment="1" applyProtection="1">
      <alignment horizontal="center"/>
      <protection hidden="1"/>
    </xf>
    <xf numFmtId="1" fontId="0" fillId="0" borderId="27" xfId="0" applyNumberFormat="1" applyBorder="1" applyAlignment="1" applyProtection="1">
      <alignment horizontal="center" vertical="center"/>
      <protection hidden="1"/>
    </xf>
    <xf numFmtId="0" fontId="0" fillId="0" borderId="27" xfId="0" applyBorder="1" applyAlignment="1" applyProtection="1">
      <alignment horizontal="center" vertical="center"/>
      <protection hidden="1"/>
    </xf>
    <xf numFmtId="165" fontId="1" fillId="0" borderId="28" xfId="5" applyNumberFormat="1" applyFill="1" applyBorder="1" applyAlignment="1" applyProtection="1">
      <alignment horizontal="center" vertical="center"/>
      <protection hidden="1"/>
    </xf>
    <xf numFmtId="165" fontId="1" fillId="0" borderId="27" xfId="5" applyNumberFormat="1" applyFill="1" applyBorder="1" applyAlignment="1" applyProtection="1">
      <alignment horizontal="center" vertical="center"/>
      <protection hidden="1"/>
    </xf>
    <xf numFmtId="0" fontId="3" fillId="0" borderId="27" xfId="4" applyBorder="1" applyAlignment="1" applyProtection="1">
      <alignment horizontal="center" vertical="center"/>
      <protection hidden="1"/>
    </xf>
    <xf numFmtId="165" fontId="3" fillId="0" borderId="27" xfId="4" applyNumberFormat="1" applyBorder="1" applyAlignment="1" applyProtection="1">
      <alignment horizontal="center" vertical="center"/>
      <protection hidden="1"/>
    </xf>
    <xf numFmtId="0" fontId="0" fillId="5" borderId="2" xfId="3" applyFont="1" applyFill="1" applyAlignment="1" applyProtection="1">
      <alignment horizontal="left" vertical="center"/>
      <protection locked="0"/>
    </xf>
    <xf numFmtId="2" fontId="0" fillId="6" borderId="2" xfId="3" applyNumberFormat="1" applyFont="1" applyFill="1" applyAlignment="1" applyProtection="1">
      <alignment horizontal="center" vertical="center"/>
      <protection hidden="1"/>
    </xf>
    <xf numFmtId="0" fontId="0" fillId="6" borderId="2" xfId="3" applyFont="1" applyFill="1" applyAlignment="1" applyProtection="1">
      <alignment horizontal="center" vertical="center"/>
      <protection hidden="1"/>
    </xf>
    <xf numFmtId="1" fontId="0" fillId="0" borderId="0" xfId="0" applyNumberFormat="1" applyAlignment="1" applyProtection="1">
      <alignment horizontal="center"/>
      <protection hidden="1"/>
    </xf>
    <xf numFmtId="0" fontId="0" fillId="5" borderId="2" xfId="3" applyFont="1" applyFill="1" applyAlignment="1" applyProtection="1">
      <alignment horizontal="center" vertical="center"/>
      <protection locked="0"/>
    </xf>
    <xf numFmtId="1" fontId="0" fillId="0" borderId="26" xfId="0" applyNumberFormat="1" applyBorder="1" applyAlignment="1" applyProtection="1">
      <alignment horizontal="center"/>
      <protection hidden="1"/>
    </xf>
    <xf numFmtId="1" fontId="0" fillId="0" borderId="28" xfId="0" applyNumberFormat="1" applyBorder="1" applyAlignment="1" applyProtection="1">
      <alignment horizontal="center" vertical="center"/>
      <protection hidden="1"/>
    </xf>
    <xf numFmtId="0" fontId="5" fillId="0" borderId="24" xfId="0" applyFont="1" applyBorder="1" applyAlignment="1" applyProtection="1">
      <alignment horizontal="center"/>
      <protection hidden="1"/>
    </xf>
    <xf numFmtId="1" fontId="0" fillId="0" borderId="25" xfId="0" applyNumberFormat="1" applyBorder="1" applyAlignment="1" applyProtection="1">
      <alignment horizontal="center"/>
      <protection hidden="1"/>
    </xf>
    <xf numFmtId="0" fontId="3" fillId="0" borderId="0" xfId="0" applyFont="1" applyAlignment="1" applyProtection="1">
      <alignment horizontal="right"/>
      <protection hidden="1"/>
    </xf>
    <xf numFmtId="0" fontId="5" fillId="0" borderId="0" xfId="5" applyFont="1" applyFill="1" applyBorder="1" applyAlignment="1" applyProtection="1">
      <alignment horizontal="center"/>
      <protection hidden="1"/>
    </xf>
    <xf numFmtId="0" fontId="3" fillId="0" borderId="11" xfId="0" applyFont="1" applyBorder="1" applyAlignment="1" applyProtection="1">
      <alignment horizontal="center"/>
      <protection hidden="1"/>
    </xf>
    <xf numFmtId="0" fontId="3" fillId="0" borderId="24" xfId="0" applyFont="1" applyBorder="1" applyAlignment="1" applyProtection="1">
      <alignment horizontal="center"/>
      <protection hidden="1"/>
    </xf>
    <xf numFmtId="0" fontId="3" fillId="0" borderId="23" xfId="0" applyFont="1" applyBorder="1" applyAlignment="1" applyProtection="1">
      <alignment horizontal="center"/>
      <protection hidden="1"/>
    </xf>
    <xf numFmtId="1" fontId="0" fillId="0" borderId="5" xfId="0" applyNumberFormat="1" applyBorder="1" applyAlignment="1" applyProtection="1">
      <alignment horizontal="center"/>
      <protection hidden="1"/>
    </xf>
    <xf numFmtId="0" fontId="3" fillId="0" borderId="0" xfId="0" applyFont="1" applyAlignment="1" applyProtection="1">
      <alignment horizontal="right" wrapText="1"/>
      <protection hidden="1"/>
    </xf>
    <xf numFmtId="2" fontId="0" fillId="0" borderId="0" xfId="0" applyNumberFormat="1" applyAlignment="1" applyProtection="1">
      <alignment horizontal="left" indent="1"/>
      <protection hidden="1"/>
    </xf>
    <xf numFmtId="0" fontId="0" fillId="0" borderId="0" xfId="0" applyAlignment="1" applyProtection="1">
      <alignment horizontal="left" indent="1"/>
      <protection hidden="1"/>
    </xf>
    <xf numFmtId="165" fontId="0" fillId="0" borderId="5" xfId="0" applyNumberFormat="1" applyBorder="1" applyAlignment="1" applyProtection="1">
      <alignment horizontal="center"/>
      <protection hidden="1"/>
    </xf>
    <xf numFmtId="10" fontId="0" fillId="0" borderId="5" xfId="1" applyNumberFormat="1" applyFont="1" applyBorder="1" applyAlignment="1" applyProtection="1">
      <alignment horizontal="center"/>
      <protection hidden="1"/>
    </xf>
    <xf numFmtId="165" fontId="0" fillId="0" borderId="0" xfId="0" applyNumberFormat="1" applyAlignment="1" applyProtection="1">
      <alignment horizontal="center" vertical="center"/>
      <protection hidden="1"/>
    </xf>
    <xf numFmtId="165" fontId="12" fillId="0" borderId="0" xfId="0" applyNumberFormat="1" applyFont="1" applyAlignment="1" applyProtection="1">
      <alignment horizontal="center"/>
      <protection hidden="1"/>
    </xf>
    <xf numFmtId="166" fontId="0" fillId="0" borderId="0" xfId="1" applyNumberFormat="1" applyFont="1" applyAlignment="1" applyProtection="1">
      <alignment horizontal="center" vertical="center"/>
      <protection hidden="1"/>
    </xf>
    <xf numFmtId="165" fontId="0" fillId="0" borderId="11" xfId="0" applyNumberFormat="1" applyBorder="1" applyAlignment="1" applyProtection="1">
      <alignment horizontal="center" vertical="center"/>
      <protection hidden="1"/>
    </xf>
    <xf numFmtId="165" fontId="12" fillId="0" borderId="11" xfId="0" applyNumberFormat="1" applyFont="1" applyBorder="1" applyAlignment="1" applyProtection="1">
      <alignment horizontal="center"/>
      <protection hidden="1"/>
    </xf>
    <xf numFmtId="166" fontId="0" fillId="0" borderId="11" xfId="1" applyNumberFormat="1" applyFont="1" applyBorder="1" applyAlignment="1" applyProtection="1">
      <alignment horizontal="center" vertical="center"/>
      <protection hidden="1"/>
    </xf>
    <xf numFmtId="1" fontId="0" fillId="0" borderId="5" xfId="0" applyNumberFormat="1" applyBorder="1" applyAlignment="1" applyProtection="1">
      <alignment horizontal="center" vertical="center"/>
      <protection hidden="1"/>
    </xf>
    <xf numFmtId="165" fontId="0" fillId="0" borderId="5" xfId="0" applyNumberFormat="1" applyBorder="1" applyAlignment="1" applyProtection="1">
      <alignment horizontal="center" vertical="center"/>
      <protection hidden="1"/>
    </xf>
    <xf numFmtId="165" fontId="12" fillId="0" borderId="5" xfId="0" applyNumberFormat="1" applyFont="1" applyBorder="1" applyAlignment="1" applyProtection="1">
      <alignment horizontal="center"/>
      <protection hidden="1"/>
    </xf>
    <xf numFmtId="9" fontId="0" fillId="0" borderId="5" xfId="1" applyFont="1" applyBorder="1" applyAlignment="1" applyProtection="1">
      <alignment horizontal="center" vertical="center"/>
      <protection hidden="1"/>
    </xf>
    <xf numFmtId="0" fontId="0" fillId="0" borderId="9" xfId="0" applyBorder="1" applyAlignment="1" applyProtection="1">
      <alignment horizontal="left"/>
      <protection hidden="1"/>
    </xf>
    <xf numFmtId="0" fontId="0" fillId="0" borderId="0" xfId="0" applyAlignment="1" applyProtection="1">
      <alignment horizontal="center" wrapText="1"/>
      <protection hidden="1"/>
    </xf>
    <xf numFmtId="0" fontId="5" fillId="0" borderId="0" xfId="0" applyFont="1" applyAlignment="1" applyProtection="1">
      <alignment horizontal="center"/>
      <protection hidden="1"/>
    </xf>
    <xf numFmtId="165" fontId="1" fillId="5" borderId="20" xfId="3" applyNumberFormat="1" applyFont="1" applyFill="1" applyBorder="1" applyAlignment="1" applyProtection="1">
      <alignment horizontal="center" vertical="center"/>
      <protection locked="0"/>
    </xf>
    <xf numFmtId="165" fontId="1" fillId="5" borderId="21" xfId="3" applyNumberFormat="1" applyFont="1" applyFill="1" applyBorder="1" applyAlignment="1" applyProtection="1">
      <alignment horizontal="center" vertical="center"/>
      <protection locked="0"/>
    </xf>
    <xf numFmtId="165" fontId="1" fillId="5" borderId="22" xfId="3" applyNumberFormat="1" applyFont="1" applyFill="1" applyBorder="1" applyAlignment="1" applyProtection="1">
      <alignment horizontal="center" vertical="center"/>
      <protection locked="0"/>
    </xf>
    <xf numFmtId="0" fontId="0" fillId="0" borderId="0" xfId="0" applyAlignment="1" applyProtection="1">
      <alignment horizontal="right" vertical="center"/>
      <protection hidden="1"/>
    </xf>
    <xf numFmtId="0" fontId="0" fillId="0" borderId="15" xfId="0" applyBorder="1" applyAlignment="1" applyProtection="1">
      <alignment horizontal="right" vertical="center"/>
      <protection hidden="1"/>
    </xf>
    <xf numFmtId="165" fontId="0" fillId="5" borderId="19" xfId="3" applyNumberFormat="1" applyFont="1" applyFill="1" applyBorder="1" applyAlignment="1" applyProtection="1">
      <alignment horizontal="center" vertical="center"/>
      <protection locked="0"/>
    </xf>
    <xf numFmtId="0" fontId="0" fillId="0" borderId="0" xfId="0" applyAlignment="1" applyProtection="1">
      <alignment horizontal="right" vertical="center" wrapText="1"/>
      <protection hidden="1"/>
    </xf>
    <xf numFmtId="167" fontId="0" fillId="0" borderId="5" xfId="0" applyNumberFormat="1" applyBorder="1" applyAlignment="1" applyProtection="1">
      <alignment horizontal="center"/>
      <protection hidden="1"/>
    </xf>
    <xf numFmtId="0" fontId="0" fillId="5" borderId="19" xfId="3" applyFont="1" applyFill="1" applyBorder="1" applyAlignment="1" applyProtection="1">
      <alignment horizontal="center" vertical="center"/>
      <protection locked="0"/>
    </xf>
    <xf numFmtId="0" fontId="3" fillId="0" borderId="7" xfId="0" applyFont="1" applyBorder="1" applyAlignment="1" applyProtection="1">
      <alignment horizontal="right" wrapText="1"/>
      <protection hidden="1"/>
    </xf>
    <xf numFmtId="0" fontId="3" fillId="0" borderId="15" xfId="0" applyFont="1" applyBorder="1" applyAlignment="1" applyProtection="1">
      <alignment horizontal="right" wrapText="1"/>
      <protection hidden="1"/>
    </xf>
    <xf numFmtId="1" fontId="1" fillId="5" borderId="16" xfId="3" applyNumberFormat="1" applyFont="1" applyFill="1" applyBorder="1" applyAlignment="1" applyProtection="1">
      <alignment horizontal="center" vertical="center"/>
      <protection locked="0"/>
    </xf>
    <xf numFmtId="1" fontId="1" fillId="5" borderId="17" xfId="3" applyNumberFormat="1" applyFont="1" applyFill="1" applyBorder="1" applyAlignment="1" applyProtection="1">
      <alignment horizontal="center" vertical="center"/>
      <protection locked="0"/>
    </xf>
    <xf numFmtId="1" fontId="1" fillId="5" borderId="18" xfId="3" applyNumberFormat="1" applyFont="1" applyFill="1" applyBorder="1" applyAlignment="1" applyProtection="1">
      <alignment horizontal="center" vertical="center"/>
      <protection locked="0"/>
    </xf>
    <xf numFmtId="164" fontId="0" fillId="0" borderId="0" xfId="0" applyNumberFormat="1" applyAlignment="1" applyProtection="1">
      <alignment horizontal="center"/>
      <protection hidden="1"/>
    </xf>
    <xf numFmtId="1" fontId="1" fillId="5" borderId="12" xfId="3" applyNumberFormat="1" applyFont="1" applyFill="1" applyBorder="1" applyAlignment="1" applyProtection="1">
      <alignment horizontal="center" vertical="center"/>
      <protection locked="0"/>
    </xf>
    <xf numFmtId="1" fontId="1" fillId="5" borderId="13" xfId="3" applyNumberFormat="1" applyFont="1" applyFill="1" applyBorder="1" applyAlignment="1" applyProtection="1">
      <alignment horizontal="center" vertical="center"/>
      <protection locked="0"/>
    </xf>
    <xf numFmtId="1" fontId="1" fillId="5" borderId="14" xfId="3" applyNumberFormat="1" applyFont="1" applyFill="1" applyBorder="1" applyAlignment="1" applyProtection="1">
      <alignment horizontal="center" vertical="center"/>
      <protection locked="0"/>
    </xf>
    <xf numFmtId="0" fontId="3" fillId="0" borderId="7" xfId="0" applyFont="1" applyBorder="1" applyAlignment="1" applyProtection="1">
      <alignment horizontal="right"/>
      <protection hidden="1"/>
    </xf>
    <xf numFmtId="0" fontId="3" fillId="0" borderId="15" xfId="0" applyFont="1" applyBorder="1" applyAlignment="1" applyProtection="1">
      <alignment horizontal="right"/>
      <protection hidden="1"/>
    </xf>
    <xf numFmtId="2" fontId="1" fillId="5" borderId="16" xfId="3" applyNumberFormat="1" applyFont="1" applyFill="1" applyBorder="1" applyAlignment="1" applyProtection="1">
      <alignment horizontal="center" vertical="center"/>
      <protection locked="0"/>
    </xf>
    <xf numFmtId="2" fontId="1" fillId="5" borderId="17" xfId="3" applyNumberFormat="1" applyFont="1" applyFill="1" applyBorder="1" applyAlignment="1" applyProtection="1">
      <alignment horizontal="center" vertical="center"/>
      <protection locked="0"/>
    </xf>
    <xf numFmtId="2" fontId="1" fillId="5" borderId="18" xfId="3" applyNumberFormat="1" applyFont="1" applyFill="1" applyBorder="1" applyAlignment="1" applyProtection="1">
      <alignment horizontal="center" vertical="center"/>
      <protection locked="0"/>
    </xf>
    <xf numFmtId="0" fontId="3" fillId="0" borderId="0" xfId="0" applyFont="1" applyAlignment="1" applyProtection="1">
      <alignment horizontal="right" indent="1"/>
      <protection hidden="1"/>
    </xf>
    <xf numFmtId="0" fontId="3" fillId="0" borderId="15" xfId="0" applyFont="1" applyBorder="1" applyAlignment="1" applyProtection="1">
      <alignment horizontal="right" indent="1"/>
      <protection hidden="1"/>
    </xf>
    <xf numFmtId="1" fontId="1" fillId="6" borderId="12" xfId="3" applyNumberFormat="1" applyFont="1" applyFill="1" applyBorder="1" applyAlignment="1" applyProtection="1">
      <alignment horizontal="center" vertical="center"/>
      <protection hidden="1"/>
    </xf>
    <xf numFmtId="1" fontId="1" fillId="6" borderId="13" xfId="3" applyNumberFormat="1" applyFont="1" applyFill="1" applyBorder="1" applyAlignment="1" applyProtection="1">
      <alignment horizontal="center" vertical="center"/>
      <protection hidden="1"/>
    </xf>
    <xf numFmtId="0" fontId="5" fillId="0" borderId="0" xfId="0" applyFont="1" applyAlignment="1" applyProtection="1">
      <alignment horizontal="center" vertical="center"/>
      <protection hidden="1"/>
    </xf>
    <xf numFmtId="2" fontId="0" fillId="0" borderId="0" xfId="0" applyNumberFormat="1" applyAlignment="1" applyProtection="1">
      <alignment horizontal="center" vertical="center"/>
      <protection hidden="1"/>
    </xf>
    <xf numFmtId="0" fontId="0" fillId="0" borderId="0" xfId="0" applyAlignment="1" applyProtection="1">
      <alignment horizontal="left" vertical="center"/>
      <protection hidden="1"/>
    </xf>
    <xf numFmtId="1" fontId="12" fillId="0" borderId="0" xfId="0" applyNumberFormat="1" applyFont="1" applyAlignment="1" applyProtection="1">
      <alignment horizontal="center"/>
      <protection hidden="1"/>
    </xf>
    <xf numFmtId="0" fontId="3" fillId="0" borderId="15" xfId="0" applyFont="1" applyBorder="1" applyAlignment="1" applyProtection="1">
      <alignment horizontal="right" vertical="center"/>
      <protection hidden="1"/>
    </xf>
    <xf numFmtId="2" fontId="0" fillId="5" borderId="2" xfId="3" applyNumberFormat="1" applyFont="1" applyFill="1" applyAlignment="1" applyProtection="1">
      <alignment horizontal="center" vertical="center"/>
      <protection locked="0"/>
    </xf>
    <xf numFmtId="0" fontId="0" fillId="0" borderId="0" xfId="0" applyAlignment="1" applyProtection="1">
      <alignment horizontal="center"/>
      <protection hidden="1"/>
    </xf>
    <xf numFmtId="2" fontId="3" fillId="0" borderId="0" xfId="0" applyNumberFormat="1" applyFont="1" applyAlignment="1" applyProtection="1">
      <alignment horizontal="right" vertical="center" wrapText="1"/>
      <protection hidden="1"/>
    </xf>
    <xf numFmtId="166" fontId="0" fillId="0" borderId="0" xfId="1" applyNumberFormat="1" applyFont="1" applyBorder="1" applyAlignment="1" applyProtection="1">
      <alignment horizontal="center"/>
      <protection hidden="1"/>
    </xf>
    <xf numFmtId="166" fontId="0" fillId="0" borderId="0" xfId="1" applyNumberFormat="1" applyFont="1" applyFill="1" applyBorder="1" applyAlignment="1" applyProtection="1">
      <alignment horizontal="center"/>
      <protection hidden="1"/>
    </xf>
    <xf numFmtId="9" fontId="0" fillId="0" borderId="0" xfId="1" applyFont="1" applyFill="1" applyBorder="1" applyAlignment="1" applyProtection="1">
      <alignment horizontal="center"/>
      <protection hidden="1"/>
    </xf>
    <xf numFmtId="165" fontId="1" fillId="5" borderId="12" xfId="3" applyNumberFormat="1" applyFont="1" applyFill="1" applyBorder="1" applyAlignment="1" applyProtection="1">
      <alignment horizontal="center" vertical="center"/>
      <protection locked="0"/>
    </xf>
    <xf numFmtId="165" fontId="1" fillId="5" borderId="13" xfId="3" applyNumberFormat="1" applyFont="1" applyFill="1" applyBorder="1" applyAlignment="1" applyProtection="1">
      <alignment horizontal="center" vertical="center"/>
      <protection locked="0"/>
    </xf>
    <xf numFmtId="165" fontId="1" fillId="5" borderId="14" xfId="3" applyNumberFormat="1" applyFont="1" applyFill="1" applyBorder="1" applyAlignment="1" applyProtection="1">
      <alignment horizontal="center" vertical="center"/>
      <protection locked="0"/>
    </xf>
    <xf numFmtId="166" fontId="0" fillId="0" borderId="0" xfId="0" applyNumberFormat="1" applyAlignment="1" applyProtection="1">
      <alignment horizontal="center"/>
      <protection hidden="1"/>
    </xf>
    <xf numFmtId="166" fontId="0" fillId="0" borderId="0" xfId="1" applyNumberFormat="1" applyFont="1" applyAlignment="1" applyProtection="1">
      <alignment horizontal="center"/>
      <protection hidden="1"/>
    </xf>
    <xf numFmtId="166" fontId="0" fillId="0" borderId="0" xfId="1" applyNumberFormat="1" applyFont="1" applyFill="1" applyAlignment="1" applyProtection="1">
      <alignment horizontal="center"/>
      <protection hidden="1"/>
    </xf>
    <xf numFmtId="9" fontId="0" fillId="0" borderId="0" xfId="1" applyFont="1" applyFill="1" applyAlignment="1" applyProtection="1">
      <alignment horizontal="center"/>
      <protection hidden="1"/>
    </xf>
    <xf numFmtId="0" fontId="0" fillId="5" borderId="12" xfId="3" applyFont="1" applyFill="1" applyBorder="1" applyAlignment="1" applyProtection="1">
      <alignment horizontal="left" vertical="center" indent="1"/>
      <protection locked="0"/>
    </xf>
    <xf numFmtId="0" fontId="0" fillId="5" borderId="13" xfId="3" applyFont="1" applyFill="1" applyBorder="1" applyAlignment="1" applyProtection="1">
      <alignment horizontal="left" vertical="center" indent="1"/>
      <protection locked="0"/>
    </xf>
    <xf numFmtId="0" fontId="0" fillId="5" borderId="14" xfId="3" applyFont="1" applyFill="1" applyBorder="1" applyAlignment="1" applyProtection="1">
      <alignment horizontal="left" vertical="center" indent="1"/>
      <protection locked="0"/>
    </xf>
    <xf numFmtId="166" fontId="0" fillId="0" borderId="5" xfId="1" applyNumberFormat="1" applyFont="1" applyFill="1" applyBorder="1" applyAlignment="1" applyProtection="1">
      <alignment horizontal="center"/>
      <protection hidden="1"/>
    </xf>
    <xf numFmtId="166" fontId="0" fillId="0" borderId="5" xfId="0" applyNumberFormat="1" applyBorder="1" applyAlignment="1" applyProtection="1">
      <alignment horizontal="center"/>
      <protection hidden="1"/>
    </xf>
    <xf numFmtId="9" fontId="0" fillId="0" borderId="5" xfId="1" applyFont="1" applyFill="1" applyBorder="1" applyAlignment="1" applyProtection="1">
      <alignment horizontal="center"/>
      <protection hidden="1"/>
    </xf>
    <xf numFmtId="0" fontId="5" fillId="0" borderId="10" xfId="0" applyFont="1" applyBorder="1" applyAlignment="1" applyProtection="1">
      <alignment horizontal="center" vertical="center"/>
      <protection hidden="1"/>
    </xf>
    <xf numFmtId="0" fontId="0" fillId="5" borderId="2" xfId="3" applyFont="1" applyFill="1" applyAlignment="1" applyProtection="1">
      <alignment horizontal="left" vertical="center" indent="1"/>
      <protection locked="0"/>
    </xf>
    <xf numFmtId="0" fontId="3" fillId="0" borderId="5" xfId="0" applyFont="1" applyBorder="1" applyAlignment="1" applyProtection="1">
      <alignment horizontal="center" wrapText="1"/>
      <protection hidden="1"/>
    </xf>
    <xf numFmtId="0" fontId="3" fillId="0" borderId="5" xfId="0" applyFont="1" applyBorder="1" applyAlignment="1" applyProtection="1">
      <alignment horizontal="center"/>
      <protection hidden="1"/>
    </xf>
    <xf numFmtId="0" fontId="3" fillId="0" borderId="11" xfId="0" applyFont="1" applyBorder="1" applyAlignment="1" applyProtection="1">
      <alignment horizontal="center" wrapText="1"/>
      <protection hidden="1"/>
    </xf>
    <xf numFmtId="0" fontId="0" fillId="0" borderId="9" xfId="0" applyBorder="1" applyAlignment="1" applyProtection="1">
      <alignment horizontal="left" vertical="top" wrapText="1"/>
      <protection hidden="1"/>
    </xf>
    <xf numFmtId="0" fontId="0" fillId="0" borderId="29" xfId="0" applyBorder="1" applyAlignment="1" applyProtection="1">
      <alignment horizontal="center" vertical="center"/>
      <protection hidden="1"/>
    </xf>
    <xf numFmtId="165" fontId="0" fillId="0" borderId="23" xfId="0" applyNumberFormat="1" applyBorder="1" applyAlignment="1" applyProtection="1">
      <alignment horizontal="center" vertical="center"/>
      <protection hidden="1"/>
    </xf>
    <xf numFmtId="1" fontId="1" fillId="0" borderId="11" xfId="5" applyNumberFormat="1" applyFill="1" applyBorder="1" applyAlignment="1" applyProtection="1">
      <alignment horizontal="center" vertical="center"/>
      <protection hidden="1"/>
    </xf>
    <xf numFmtId="0" fontId="1" fillId="0" borderId="11" xfId="5" applyFill="1" applyBorder="1" applyAlignment="1" applyProtection="1">
      <alignment horizontal="center" vertical="center"/>
      <protection hidden="1"/>
    </xf>
    <xf numFmtId="165" fontId="1" fillId="0" borderId="23" xfId="5" applyNumberFormat="1" applyFill="1" applyBorder="1" applyAlignment="1" applyProtection="1">
      <alignment horizontal="center" vertical="center"/>
      <protection hidden="1"/>
    </xf>
    <xf numFmtId="165" fontId="1" fillId="0" borderId="11" xfId="5" applyNumberFormat="1" applyFill="1" applyBorder="1" applyAlignment="1" applyProtection="1">
      <alignment horizontal="center" vertical="center"/>
      <protection hidden="1"/>
    </xf>
    <xf numFmtId="1" fontId="3" fillId="0" borderId="27" xfId="4" applyNumberFormat="1" applyBorder="1" applyAlignment="1" applyProtection="1">
      <alignment horizontal="center" vertical="center"/>
      <protection hidden="1"/>
    </xf>
    <xf numFmtId="165" fontId="0" fillId="0" borderId="28" xfId="0" applyNumberFormat="1" applyBorder="1" applyAlignment="1" applyProtection="1">
      <alignment horizontal="center" vertical="center"/>
      <protection hidden="1"/>
    </xf>
    <xf numFmtId="165" fontId="0" fillId="0" borderId="27" xfId="0" applyNumberFormat="1" applyBorder="1" applyAlignment="1" applyProtection="1">
      <alignment horizontal="center" vertical="center"/>
      <protection hidden="1"/>
    </xf>
    <xf numFmtId="1" fontId="1" fillId="0" borderId="27" xfId="5" applyNumberFormat="1" applyFill="1" applyBorder="1" applyAlignment="1" applyProtection="1">
      <alignment horizontal="center" vertical="center"/>
      <protection hidden="1"/>
    </xf>
    <xf numFmtId="0" fontId="1" fillId="0" borderId="27" xfId="5" applyFill="1" applyBorder="1" applyAlignment="1" applyProtection="1">
      <alignment horizontal="center" vertical="center"/>
      <protection hidden="1"/>
    </xf>
    <xf numFmtId="0" fontId="1" fillId="0" borderId="29" xfId="5" applyFill="1" applyBorder="1" applyAlignment="1" applyProtection="1">
      <alignment horizontal="center" vertical="center"/>
      <protection hidden="1"/>
    </xf>
    <xf numFmtId="165" fontId="12" fillId="0" borderId="0" xfId="0" applyNumberFormat="1" applyFont="1" applyAlignment="1" applyProtection="1">
      <alignment horizontal="center" vertical="center"/>
      <protection hidden="1"/>
    </xf>
    <xf numFmtId="9" fontId="0" fillId="0" borderId="0" xfId="1" applyFont="1" applyAlignment="1" applyProtection="1">
      <alignment horizontal="center"/>
      <protection hidden="1"/>
    </xf>
    <xf numFmtId="165" fontId="12" fillId="0" borderId="11" xfId="0" applyNumberFormat="1" applyFont="1" applyBorder="1" applyAlignment="1" applyProtection="1">
      <alignment horizontal="center" vertical="center"/>
      <protection hidden="1"/>
    </xf>
    <xf numFmtId="165" fontId="12" fillId="0" borderId="5" xfId="0" applyNumberFormat="1" applyFont="1" applyBorder="1" applyAlignment="1" applyProtection="1">
      <alignment horizontal="center" vertical="center"/>
      <protection hidden="1"/>
    </xf>
    <xf numFmtId="0" fontId="3" fillId="0" borderId="0" xfId="0" applyFont="1" applyAlignment="1" applyProtection="1">
      <alignment horizontal="center"/>
      <protection hidden="1"/>
    </xf>
    <xf numFmtId="0" fontId="3" fillId="0" borderId="15" xfId="0" applyFont="1" applyBorder="1" applyAlignment="1" applyProtection="1">
      <alignment horizontal="center"/>
      <protection hidden="1"/>
    </xf>
    <xf numFmtId="2" fontId="1" fillId="5" borderId="20" xfId="3" applyNumberFormat="1" applyFont="1" applyFill="1" applyBorder="1" applyAlignment="1" applyProtection="1">
      <alignment horizontal="center" vertical="center"/>
      <protection locked="0"/>
    </xf>
    <xf numFmtId="2" fontId="1" fillId="5" borderId="21" xfId="3" applyNumberFormat="1" applyFont="1" applyFill="1" applyBorder="1" applyAlignment="1" applyProtection="1">
      <alignment horizontal="center" vertical="center"/>
      <protection locked="0"/>
    </xf>
    <xf numFmtId="2" fontId="1" fillId="5" borderId="22" xfId="3" applyNumberFormat="1" applyFont="1" applyFill="1" applyBorder="1" applyAlignment="1" applyProtection="1">
      <alignment horizontal="center" vertical="center"/>
      <protection locked="0"/>
    </xf>
    <xf numFmtId="1" fontId="12" fillId="0" borderId="0" xfId="0" applyNumberFormat="1" applyFont="1" applyAlignment="1" applyProtection="1">
      <alignment horizontal="center" vertical="center"/>
      <protection hidden="1"/>
    </xf>
    <xf numFmtId="164" fontId="0" fillId="0" borderId="0" xfId="0" applyNumberFormat="1" applyAlignment="1" applyProtection="1">
      <alignment horizontal="left"/>
      <protection hidden="1"/>
    </xf>
    <xf numFmtId="0" fontId="0" fillId="0" borderId="0" xfId="0" applyAlignment="1" applyProtection="1">
      <alignment horizontal="center" vertical="center"/>
      <protection hidden="1"/>
    </xf>
    <xf numFmtId="0" fontId="25" fillId="0" borderId="11" xfId="0" applyFont="1" applyBorder="1" applyAlignment="1" applyProtection="1">
      <alignment horizontal="center" vertical="center"/>
      <protection hidden="1"/>
    </xf>
    <xf numFmtId="0" fontId="0" fillId="5" borderId="2" xfId="3" applyFont="1" applyFill="1" applyAlignment="1" applyProtection="1">
      <alignment horizontal="center"/>
      <protection hidden="1"/>
    </xf>
    <xf numFmtId="0" fontId="0" fillId="5" borderId="12" xfId="3" applyFont="1" applyFill="1" applyBorder="1" applyAlignment="1" applyProtection="1">
      <alignment horizontal="center"/>
      <protection hidden="1"/>
    </xf>
    <xf numFmtId="0" fontId="0" fillId="5" borderId="13" xfId="3" applyFont="1" applyFill="1" applyBorder="1" applyAlignment="1" applyProtection="1">
      <alignment horizontal="center"/>
      <protection hidden="1"/>
    </xf>
    <xf numFmtId="0" fontId="0" fillId="5" borderId="14" xfId="3" applyFont="1" applyFill="1" applyBorder="1" applyAlignment="1" applyProtection="1">
      <alignment horizontal="center"/>
      <protection hidden="1"/>
    </xf>
    <xf numFmtId="164" fontId="0" fillId="6" borderId="2" xfId="3" applyNumberFormat="1" applyFont="1" applyFill="1" applyAlignment="1" applyProtection="1">
      <alignment horizontal="center"/>
      <protection hidden="1"/>
    </xf>
    <xf numFmtId="0" fontId="15" fillId="0" borderId="0" xfId="0" applyFont="1" applyAlignment="1" applyProtection="1">
      <alignment horizontal="center" vertical="center" wrapText="1"/>
      <protection hidden="1"/>
    </xf>
    <xf numFmtId="167" fontId="0" fillId="6" borderId="2" xfId="3" applyNumberFormat="1" applyFont="1" applyFill="1" applyAlignment="1" applyProtection="1">
      <alignment horizontal="center"/>
      <protection hidden="1"/>
    </xf>
    <xf numFmtId="2" fontId="0" fillId="6" borderId="2" xfId="3" applyNumberFormat="1" applyFont="1" applyFill="1" applyAlignment="1" applyProtection="1">
      <alignment horizontal="center"/>
      <protection hidden="1"/>
    </xf>
    <xf numFmtId="2" fontId="0" fillId="5" borderId="12" xfId="3" applyNumberFormat="1" applyFont="1" applyFill="1" applyBorder="1" applyAlignment="1" applyProtection="1">
      <alignment horizontal="center"/>
      <protection locked="0"/>
    </xf>
    <xf numFmtId="2" fontId="0" fillId="5" borderId="13" xfId="3" applyNumberFormat="1" applyFont="1" applyFill="1" applyBorder="1" applyAlignment="1" applyProtection="1">
      <alignment horizontal="center"/>
      <protection locked="0"/>
    </xf>
    <xf numFmtId="2" fontId="0" fillId="5" borderId="14" xfId="3" applyNumberFormat="1" applyFont="1" applyFill="1" applyBorder="1" applyAlignment="1" applyProtection="1">
      <alignment horizontal="center"/>
      <protection locked="0"/>
    </xf>
    <xf numFmtId="0" fontId="0" fillId="5" borderId="2" xfId="3" applyFont="1" applyFill="1" applyAlignment="1" applyProtection="1">
      <alignment horizontal="center"/>
      <protection locked="0"/>
    </xf>
    <xf numFmtId="0" fontId="0" fillId="5" borderId="12" xfId="3" applyFont="1" applyFill="1" applyBorder="1" applyAlignment="1" applyProtection="1">
      <alignment horizontal="center"/>
      <protection locked="0"/>
    </xf>
    <xf numFmtId="0" fontId="0" fillId="5" borderId="13" xfId="3" applyFont="1" applyFill="1" applyBorder="1" applyAlignment="1" applyProtection="1">
      <alignment horizontal="center"/>
      <protection locked="0"/>
    </xf>
    <xf numFmtId="0" fontId="0" fillId="5" borderId="14" xfId="3" applyFont="1" applyFill="1" applyBorder="1" applyAlignment="1" applyProtection="1">
      <alignment horizontal="center"/>
      <protection locked="0"/>
    </xf>
    <xf numFmtId="4" fontId="0" fillId="6" borderId="2" xfId="3" applyNumberFormat="1" applyFont="1" applyFill="1" applyAlignment="1" applyProtection="1">
      <alignment horizontal="center"/>
      <protection hidden="1"/>
    </xf>
    <xf numFmtId="2" fontId="0" fillId="5" borderId="2" xfId="3" applyNumberFormat="1" applyFont="1" applyFill="1" applyAlignment="1" applyProtection="1">
      <alignment horizontal="center"/>
      <protection locked="0"/>
    </xf>
  </cellXfs>
  <cellStyles count="8">
    <cellStyle name="20% - Accent1" xfId="5" builtinId="30"/>
    <cellStyle name="Hyperlink" xfId="7" builtinId="8"/>
    <cellStyle name="Input" xfId="2" builtinId="20"/>
    <cellStyle name="Normal" xfId="0" builtinId="0"/>
    <cellStyle name="Normal 2" xfId="6" xr:uid="{8BE67EAC-3235-4E53-85BC-4BA4D0B05A95}"/>
    <cellStyle name="Note" xfId="3" builtinId="10"/>
    <cellStyle name="Percent" xfId="1" builtinId="5"/>
    <cellStyle name="Total" xfId="4" builtinId="25"/>
  </cellStyles>
  <dxfs count="5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B8E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E9ED9"/>
                </a:solidFill>
                <a:latin typeface="+mn-lt"/>
                <a:ea typeface="+mn-ea"/>
                <a:cs typeface="+mn-cs"/>
              </a:defRPr>
            </a:pPr>
            <a:r>
              <a:rPr lang="en-US" b="1">
                <a:solidFill>
                  <a:srgbClr val="0E9ED9"/>
                </a:solidFill>
              </a:rPr>
              <a:t>Tuning</a:t>
            </a:r>
            <a:r>
              <a:rPr lang="en-US" b="1" baseline="0">
                <a:solidFill>
                  <a:srgbClr val="0E9ED9"/>
                </a:solidFill>
              </a:rPr>
              <a:t> Reactor </a:t>
            </a:r>
            <a:r>
              <a:rPr lang="en-US" b="1">
                <a:solidFill>
                  <a:srgbClr val="0E9ED9"/>
                </a:solidFill>
              </a:rPr>
              <a:t>Harmonic</a:t>
            </a:r>
            <a:r>
              <a:rPr lang="en-US" b="1" baseline="0">
                <a:solidFill>
                  <a:srgbClr val="0E9ED9"/>
                </a:solidFill>
              </a:rPr>
              <a:t> Current Comparison </a:t>
            </a:r>
            <a:endParaRPr lang="en-US" b="1">
              <a:solidFill>
                <a:srgbClr val="0E9ED9"/>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E9ED9"/>
              </a:solidFill>
              <a:latin typeface="+mn-lt"/>
              <a:ea typeface="+mn-ea"/>
              <a:cs typeface="+mn-cs"/>
            </a:defRPr>
          </a:pPr>
          <a:endParaRPr lang="en-US"/>
        </a:p>
      </c:txPr>
    </c:title>
    <c:autoTitleDeleted val="0"/>
    <c:plotArea>
      <c:layout/>
      <c:barChart>
        <c:barDir val="col"/>
        <c:grouping val="clustered"/>
        <c:varyColors val="0"/>
        <c:ser>
          <c:idx val="2"/>
          <c:order val="2"/>
          <c:tx>
            <c:strRef>
              <c:f>'Notch Filter Design'!$CO$56</c:f>
              <c:strCache>
                <c:ptCount val="1"/>
                <c:pt idx="0">
                  <c:v>(In) Filter Current</c:v>
                </c:pt>
              </c:strCache>
            </c:strRef>
          </c:tx>
          <c:spPr>
            <a:solidFill>
              <a:srgbClr val="B8E7FA"/>
            </a:solidFill>
            <a:ln>
              <a:noFill/>
            </a:ln>
            <a:effectLst/>
          </c:spPr>
          <c:invertIfNegative val="0"/>
          <c:cat>
            <c:numRef>
              <c:extLst>
                <c:ext xmlns:c15="http://schemas.microsoft.com/office/drawing/2012/chart" uri="{02D57815-91ED-43cb-92C2-25804820EDAC}">
                  <c15:fullRef>
                    <c15:sqref>'Notch Filter Design'!$CL$57:$CL$75</c15:sqref>
                  </c15:fullRef>
                </c:ext>
              </c:extLst>
              <c:f>'Notch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'Notch Filter Design'!$CO$57:$CO$75</c15:sqref>
                  </c15:fullRef>
                </c:ext>
              </c:extLst>
              <c:f>'Notch Filter Design'!$CO$60:$CO$75</c:f>
              <c:numCache>
                <c:formatCode>General</c:formatCode>
                <c:ptCount val="16"/>
                <c:pt idx="0" formatCode="0">
                  <c:v>278.12414534767834</c:v>
                </c:pt>
                <c:pt idx="1" formatCode="0">
                  <c:v>0</c:v>
                </c:pt>
                <c:pt idx="2" formatCode="0">
                  <c:v>0</c:v>
                </c:pt>
                <c:pt idx="3" formatCode="0">
                  <c:v>0</c:v>
                </c:pt>
                <c:pt idx="4" formatCode="0">
                  <c:v>100</c:v>
                </c:pt>
                <c:pt idx="5" formatCode="0">
                  <c:v>80</c:v>
                </c:pt>
                <c:pt idx="6" formatCode="0">
                  <c:v>60</c:v>
                </c:pt>
                <c:pt idx="7" formatCode="0">
                  <c:v>30</c:v>
                </c:pt>
                <c:pt idx="8" formatCode="0">
                  <c:v>20</c:v>
                </c:pt>
                <c:pt idx="9" formatCode="0">
                  <c:v>10</c:v>
                </c:pt>
                <c:pt idx="10" formatCode="0">
                  <c:v>10</c:v>
                </c:pt>
                <c:pt idx="11" formatCode="0">
                  <c:v>10</c:v>
                </c:pt>
                <c:pt idx="12" formatCode="0">
                  <c:v>0</c:v>
                </c:pt>
                <c:pt idx="13" formatCode="0">
                  <c:v>0</c:v>
                </c:pt>
                <c:pt idx="14" formatCode="0">
                  <c:v>10</c:v>
                </c:pt>
                <c:pt idx="15" formatCode="0">
                  <c:v>10</c:v>
                </c:pt>
              </c:numCache>
            </c:numRef>
          </c:val>
          <c:extLst>
            <c:ext xmlns:c16="http://schemas.microsoft.com/office/drawing/2014/chart" uri="{C3380CC4-5D6E-409C-BE32-E72D297353CC}">
              <c16:uniqueId val="{00000000-B806-4B01-9DFD-78EA2EF35D23}"/>
            </c:ext>
          </c:extLst>
        </c:ser>
        <c:ser>
          <c:idx val="5"/>
          <c:order val="5"/>
          <c:tx>
            <c:strRef>
              <c:f>'Notch Filter Design'!$CR$56</c:f>
              <c:strCache>
                <c:ptCount val="1"/>
                <c:pt idx="0">
                  <c:v>Calculated Reactor Current</c:v>
                </c:pt>
              </c:strCache>
            </c:strRef>
          </c:tx>
          <c:spPr>
            <a:solidFill>
              <a:srgbClr val="0E9ED9"/>
            </a:solidFill>
            <a:ln>
              <a:noFill/>
            </a:ln>
            <a:effectLst/>
          </c:spPr>
          <c:invertIfNegative val="0"/>
          <c:cat>
            <c:numRef>
              <c:extLst>
                <c:ext xmlns:c15="http://schemas.microsoft.com/office/drawing/2012/chart" uri="{02D57815-91ED-43cb-92C2-25804820EDAC}">
                  <c15:fullRef>
                    <c15:sqref>'Notch Filter Design'!$CL$57:$CL$75</c15:sqref>
                  </c15:fullRef>
                </c:ext>
              </c:extLst>
              <c:f>'Notch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'Notch Filter Design'!$CR$57:$CR$75</c15:sqref>
                  </c15:fullRef>
                </c:ext>
              </c:extLst>
              <c:f>'Notch Filter Design'!$CR$60:$CR$75</c:f>
              <c:numCache>
                <c:formatCode>General</c:formatCode>
                <c:ptCount val="16"/>
                <c:pt idx="0" formatCode="0">
                  <c:v>278.12414534767834</c:v>
                </c:pt>
                <c:pt idx="1" formatCode="0">
                  <c:v>0</c:v>
                </c:pt>
                <c:pt idx="2" formatCode="0">
                  <c:v>0</c:v>
                </c:pt>
                <c:pt idx="3" formatCode="0">
                  <c:v>0</c:v>
                </c:pt>
                <c:pt idx="4" formatCode="0">
                  <c:v>100</c:v>
                </c:pt>
                <c:pt idx="5" formatCode="0">
                  <c:v>79.999999999999986</c:v>
                </c:pt>
                <c:pt idx="6" formatCode="0">
                  <c:v>60.000000000000007</c:v>
                </c:pt>
                <c:pt idx="7" formatCode="0">
                  <c:v>30.000000000000004</c:v>
                </c:pt>
                <c:pt idx="8" formatCode="0">
                  <c:v>20</c:v>
                </c:pt>
                <c:pt idx="9" formatCode="0">
                  <c:v>10</c:v>
                </c:pt>
                <c:pt idx="10" formatCode="0">
                  <c:v>10</c:v>
                </c:pt>
                <c:pt idx="11" formatCode="0">
                  <c:v>10</c:v>
                </c:pt>
                <c:pt idx="12" formatCode="0">
                  <c:v>0</c:v>
                </c:pt>
                <c:pt idx="13" formatCode="0">
                  <c:v>0</c:v>
                </c:pt>
                <c:pt idx="14" formatCode="0">
                  <c:v>10</c:v>
                </c:pt>
                <c:pt idx="15" formatCode="0">
                  <c:v>10.000000000000002</c:v>
                </c:pt>
              </c:numCache>
            </c:numRef>
          </c:val>
          <c:extLst>
            <c:ext xmlns:c16="http://schemas.microsoft.com/office/drawing/2014/chart" uri="{C3380CC4-5D6E-409C-BE32-E72D297353CC}">
              <c16:uniqueId val="{00000001-B806-4B01-9DFD-78EA2EF35D23}"/>
            </c:ext>
          </c:extLst>
        </c:ser>
        <c:ser>
          <c:idx val="9"/>
          <c:order val="9"/>
          <c:tx>
            <c:strRef>
              <c:f>'Notch Filter Design'!$CV$56</c:f>
              <c:strCache>
                <c:ptCount val="1"/>
                <c:pt idx="0">
                  <c:v>VarStec Reactor Rating</c:v>
                </c:pt>
              </c:strCache>
            </c:strRef>
          </c:tx>
          <c:spPr>
            <a:solidFill>
              <a:srgbClr val="FF0066"/>
            </a:solidFill>
            <a:ln>
              <a:noFill/>
            </a:ln>
            <a:effectLst/>
          </c:spPr>
          <c:invertIfNegative val="0"/>
          <c:cat>
            <c:numRef>
              <c:extLst>
                <c:ext xmlns:c15="http://schemas.microsoft.com/office/drawing/2012/chart" uri="{02D57815-91ED-43cb-92C2-25804820EDAC}">
                  <c15:fullRef>
                    <c15:sqref>'Notch Filter Design'!$CL$57:$CL$75</c15:sqref>
                  </c15:fullRef>
                </c:ext>
              </c:extLst>
              <c:f>'Notch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'Notch Filter Design'!$CV$57:$CV$75</c15:sqref>
                  </c15:fullRef>
                </c:ext>
              </c:extLst>
              <c:f>'Notch Filter Design'!$CV$60:$CV$75</c:f>
              <c:numCache>
                <c:formatCode>General</c:formatCode>
                <c:ptCount val="16"/>
                <c:pt idx="0" formatCode="0">
                  <c:v>417.1862180215175</c:v>
                </c:pt>
                <c:pt idx="1" formatCode="0">
                  <c:v>0</c:v>
                </c:pt>
                <c:pt idx="2" formatCode="0">
                  <c:v>0</c:v>
                </c:pt>
                <c:pt idx="3" formatCode="0">
                  <c:v>0</c:v>
                </c:pt>
                <c:pt idx="4" formatCode="0">
                  <c:v>150</c:v>
                </c:pt>
                <c:pt idx="5" formatCode="0">
                  <c:v>119.99999999999997</c:v>
                </c:pt>
                <c:pt idx="6" formatCode="0">
                  <c:v>90.000000000000014</c:v>
                </c:pt>
                <c:pt idx="7" formatCode="0">
                  <c:v>45.000000000000007</c:v>
                </c:pt>
                <c:pt idx="8" formatCode="0">
                  <c:v>30</c:v>
                </c:pt>
                <c:pt idx="9" formatCode="0">
                  <c:v>15</c:v>
                </c:pt>
                <c:pt idx="10" formatCode="0">
                  <c:v>15</c:v>
                </c:pt>
                <c:pt idx="11" formatCode="0">
                  <c:v>15</c:v>
                </c:pt>
                <c:pt idx="12" formatCode="0">
                  <c:v>0</c:v>
                </c:pt>
                <c:pt idx="13" formatCode="0">
                  <c:v>0</c:v>
                </c:pt>
                <c:pt idx="14" formatCode="0">
                  <c:v>15</c:v>
                </c:pt>
                <c:pt idx="15" formatCode="0">
                  <c:v>15.000000000000004</c:v>
                </c:pt>
              </c:numCache>
            </c:numRef>
          </c:val>
          <c:extLst>
            <c:ext xmlns:c16="http://schemas.microsoft.com/office/drawing/2014/chart" uri="{C3380CC4-5D6E-409C-BE32-E72D297353CC}">
              <c16:uniqueId val="{00000002-B806-4B01-9DFD-78EA2EF35D23}"/>
            </c:ext>
          </c:extLst>
        </c:ser>
        <c:dLbls>
          <c:showLegendKey val="0"/>
          <c:showVal val="0"/>
          <c:showCatName val="0"/>
          <c:showSerName val="0"/>
          <c:showPercent val="0"/>
          <c:showBubbleSize val="0"/>
        </c:dLbls>
        <c:gapWidth val="219"/>
        <c:overlap val="-27"/>
        <c:axId val="320270991"/>
        <c:axId val="320271951"/>
        <c:extLst>
          <c:ext xmlns:c15="http://schemas.microsoft.com/office/drawing/2012/chart" uri="{02D57815-91ED-43cb-92C2-25804820EDAC}">
            <c15:filteredBarSeries>
              <c15:ser>
                <c:idx val="0"/>
                <c:order val="0"/>
                <c:tx>
                  <c:strRef>
                    <c:extLst>
                      <c:ext uri="{02D57815-91ED-43cb-92C2-25804820EDAC}">
                        <c15:formulaRef>
                          <c15:sqref>'C-HP Filter Design'!$CM$56</c15:sqref>
                        </c15:formulaRef>
                      </c:ext>
                    </c:extLst>
                    <c:strCache>
                      <c:ptCount val="1"/>
                    </c:strCache>
                  </c:strRef>
                </c:tx>
                <c:spPr>
                  <a:solidFill>
                    <a:schemeClr val="accent1"/>
                  </a:solidFill>
                  <a:ln>
                    <a:noFill/>
                  </a:ln>
                  <a:effectLst/>
                </c:spPr>
                <c:invertIfNegative val="0"/>
                <c:cat>
                  <c:numRef>
                    <c:extLst>
                      <c:ex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uri="{02D57815-91ED-43cb-92C2-25804820EDAC}">
                        <c15:fullRef>
                          <c15:sqref>'C-HP Filter Design'!$CM$57:$CM$75</c15:sqref>
                        </c15:fullRef>
                        <c15:formulaRef>
                          <c15:sqref>'C-HP Filter Design'!$CM$60:$CM$75</c15:sqref>
                        </c15:formulaRef>
                      </c:ext>
                    </c:extLst>
                    <c:numCache>
                      <c:formatCode>General</c:formatCode>
                      <c:ptCount val="16"/>
                    </c:numCache>
                  </c:numRef>
                </c:val>
                <c:extLst>
                  <c:ext xmlns:c16="http://schemas.microsoft.com/office/drawing/2014/chart" uri="{C3380CC4-5D6E-409C-BE32-E72D297353CC}">
                    <c16:uniqueId val="{00000003-B806-4B01-9DFD-78EA2EF35D23}"/>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'C-HP Filter Design'!$CN$56</c15:sqref>
                        </c15:formulaRef>
                      </c:ext>
                    </c:extLst>
                    <c:strCache>
                      <c:ptCount val="1"/>
                    </c:strCache>
                  </c:strRef>
                </c:tx>
                <c:spPr>
                  <a:solidFill>
                    <a:schemeClr val="accent2"/>
                  </a:solidFill>
                  <a:ln>
                    <a:noFill/>
                  </a:ln>
                  <a:effectLst/>
                </c:spPr>
                <c:invertIfNegative val="0"/>
                <c:cat>
                  <c:numRef>
                    <c:extLst>
                      <c:ext xmlns:c15="http://schemas.microsoft.com/office/drawing/2012/char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Design'!$CN$57:$CN$75</c15:sqref>
                        </c15:fullRef>
                        <c15:formulaRef>
                          <c15:sqref>'C-HP Filter Design'!$CN$60:$CN$75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4-B806-4B01-9DFD-78EA2EF35D23}"/>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'C-HP Filter Design'!$CP$56</c15:sqref>
                        </c15:formulaRef>
                      </c:ext>
                    </c:extLst>
                    <c:strCache>
                      <c:ptCount val="1"/>
                    </c:strCache>
                  </c:strRef>
                </c:tx>
                <c:spPr>
                  <a:solidFill>
                    <a:schemeClr val="accent4"/>
                  </a:solidFill>
                  <a:ln>
                    <a:noFill/>
                  </a:ln>
                  <a:effectLst/>
                </c:spPr>
                <c:invertIfNegative val="0"/>
                <c:cat>
                  <c:numRef>
                    <c:extLst>
                      <c:ext xmlns:c15="http://schemas.microsoft.com/office/drawing/2012/char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Design'!$CP$57:$CP$75</c15:sqref>
                        </c15:fullRef>
                        <c15:formulaRef>
                          <c15:sqref>'C-HP Filter Design'!$CP$60:$CP$75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5-B806-4B01-9DFD-78EA2EF35D23}"/>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'C-HP Filter Design'!$CQ$56</c15:sqref>
                        </c15:formulaRef>
                      </c:ext>
                    </c:extLst>
                    <c:strCache>
                      <c:ptCount val="1"/>
                    </c:strCache>
                  </c:strRef>
                </c:tx>
                <c:spPr>
                  <a:solidFill>
                    <a:schemeClr val="accent5"/>
                  </a:solidFill>
                  <a:ln>
                    <a:noFill/>
                  </a:ln>
                  <a:effectLst/>
                </c:spPr>
                <c:invertIfNegative val="0"/>
                <c:cat>
                  <c:numRef>
                    <c:extLst>
                      <c:ext xmlns:c15="http://schemas.microsoft.com/office/drawing/2012/char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Design'!$CQ$57:$CQ$75</c15:sqref>
                        </c15:fullRef>
                        <c15:formulaRef>
                          <c15:sqref>'C-HP Filter Design'!$CQ$60:$CQ$75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6-B806-4B01-9DFD-78EA2EF35D23}"/>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'C-HP Filter Design'!$CS$56</c15:sqref>
                        </c15:formulaRef>
                      </c:ext>
                    </c:extLst>
                    <c:strCache>
                      <c:ptCount val="1"/>
                    </c:strCache>
                  </c:strRef>
                </c:tx>
                <c:spPr>
                  <a:solidFill>
                    <a:schemeClr val="accent1">
                      <a:lumMod val="60000"/>
                    </a:schemeClr>
                  </a:solidFill>
                  <a:ln>
                    <a:noFill/>
                  </a:ln>
                  <a:effectLst/>
                </c:spPr>
                <c:invertIfNegative val="0"/>
                <c:cat>
                  <c:numRef>
                    <c:extLst>
                      <c:ext xmlns:c15="http://schemas.microsoft.com/office/drawing/2012/char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Design'!$CS$57:$CS$75</c15:sqref>
                        </c15:fullRef>
                        <c15:formulaRef>
                          <c15:sqref>'C-HP Filter Design'!$CS$60:$CS$75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7-B806-4B01-9DFD-78EA2EF35D23}"/>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'C-HP Filter Design'!$CT$56</c15:sqref>
                        </c15:formulaRef>
                      </c:ext>
                    </c:extLst>
                    <c:strCache>
                      <c:ptCount val="1"/>
                    </c:strCache>
                  </c:strRef>
                </c:tx>
                <c:spPr>
                  <a:solidFill>
                    <a:schemeClr val="accent2">
                      <a:lumMod val="60000"/>
                    </a:schemeClr>
                  </a:solidFill>
                  <a:ln>
                    <a:noFill/>
                  </a:ln>
                  <a:effectLst/>
                </c:spPr>
                <c:invertIfNegative val="0"/>
                <c:cat>
                  <c:numRef>
                    <c:extLst>
                      <c:ext xmlns:c15="http://schemas.microsoft.com/office/drawing/2012/char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Design'!$CT$57:$CT$75</c15:sqref>
                        </c15:fullRef>
                        <c15:formulaRef>
                          <c15:sqref>'C-HP Filter Design'!$CT$60:$CT$75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8-B806-4B01-9DFD-78EA2EF35D23}"/>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'C-HP Filter Design'!$CU$56</c15:sqref>
                        </c15:formulaRef>
                      </c:ext>
                    </c:extLst>
                    <c:strCache>
                      <c:ptCount val="1"/>
                    </c:strCache>
                  </c:strRef>
                </c:tx>
                <c:spPr>
                  <a:solidFill>
                    <a:schemeClr val="accent3">
                      <a:lumMod val="60000"/>
                    </a:schemeClr>
                  </a:solidFill>
                  <a:ln>
                    <a:noFill/>
                  </a:ln>
                  <a:effectLst/>
                </c:spPr>
                <c:invertIfNegative val="0"/>
                <c:cat>
                  <c:numRef>
                    <c:extLst>
                      <c:ext xmlns:c15="http://schemas.microsoft.com/office/drawing/2012/char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Design'!$CU$57:$CU$75</c15:sqref>
                        </c15:fullRef>
                        <c15:formulaRef>
                          <c15:sqref>'C-HP Filter Design'!$CU$60:$CU$75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9-B806-4B01-9DFD-78EA2EF35D23}"/>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'C-HP Filter Design'!$CW$56</c15:sqref>
                        </c15:formulaRef>
                      </c:ext>
                    </c:extLst>
                    <c:strCache>
                      <c:ptCount val="1"/>
                    </c:strCache>
                  </c:strRef>
                </c:tx>
                <c:spPr>
                  <a:solidFill>
                    <a:schemeClr val="accent5">
                      <a:lumMod val="60000"/>
                    </a:schemeClr>
                  </a:solidFill>
                  <a:ln>
                    <a:noFill/>
                  </a:ln>
                  <a:effectLst/>
                </c:spPr>
                <c:invertIfNegative val="0"/>
                <c:cat>
                  <c:numRef>
                    <c:extLst>
                      <c:ext xmlns:c15="http://schemas.microsoft.com/office/drawing/2012/char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Design'!$CW$57:$CW$75</c15:sqref>
                        </c15:fullRef>
                        <c15:formulaRef>
                          <c15:sqref>'C-HP Filter Design'!$CW$60:$CW$75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A-B806-4B01-9DFD-78EA2EF35D23}"/>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'C-HP Filter Design'!$CX$56</c15:sqref>
                        </c15:formulaRef>
                      </c:ext>
                    </c:extLst>
                    <c:strCache>
                      <c:ptCount val="1"/>
                    </c:strCache>
                  </c:strRef>
                </c:tx>
                <c:spPr>
                  <a:solidFill>
                    <a:schemeClr val="accent6">
                      <a:lumMod val="60000"/>
                    </a:schemeClr>
                  </a:solidFill>
                  <a:ln>
                    <a:noFill/>
                  </a:ln>
                  <a:effectLst/>
                </c:spPr>
                <c:invertIfNegative val="0"/>
                <c:cat>
                  <c:numRef>
                    <c:extLst>
                      <c:ext xmlns:c15="http://schemas.microsoft.com/office/drawing/2012/chart" uri="{02D57815-91ED-43cb-92C2-25804820EDAC}">
                        <c15:fullRef>
                          <c15:sqref>'Notch Filter Design'!$CL$57:$CL$75</c15:sqref>
                        </c15:fullRef>
                        <c15:formulaRef>
                          <c15:sqref>'Notch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Design'!$CX$57:$CX$75</c15:sqref>
                        </c15:fullRef>
                        <c15:formulaRef>
                          <c15:sqref>'C-HP Filter Design'!$CX$60:$CX$75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B-B806-4B01-9DFD-78EA2EF35D23}"/>
                  </c:ext>
                </c:extLst>
              </c15:ser>
            </c15:filteredBarSeries>
          </c:ext>
        </c:extLst>
      </c:barChart>
      <c:catAx>
        <c:axId val="320270991"/>
        <c:scaling>
          <c:orientation val="minMax"/>
        </c:scaling>
        <c:delete val="0"/>
        <c:axPos val="b"/>
        <c:title>
          <c:tx>
            <c:rich>
              <a:bodyPr rot="0" spcFirstLastPara="1" vertOverflow="ellipsis" vert="horz" wrap="square" anchor="ctr" anchorCtr="1"/>
              <a:lstStyle/>
              <a:p>
                <a:pPr>
                  <a:defRPr sz="1400" b="0" i="0" u="none" strike="noStrike" kern="1200" baseline="0">
                    <a:solidFill>
                      <a:srgbClr val="0E9ED9"/>
                    </a:solidFill>
                    <a:latin typeface="+mn-lt"/>
                    <a:ea typeface="+mn-ea"/>
                    <a:cs typeface="+mn-cs"/>
                  </a:defRPr>
                </a:pPr>
                <a:r>
                  <a:rPr lang="en-US" sz="1400">
                    <a:solidFill>
                      <a:srgbClr val="0E9ED9"/>
                    </a:solidFill>
                  </a:rPr>
                  <a:t>Harmonic Number (n)</a:t>
                </a:r>
              </a:p>
            </c:rich>
          </c:tx>
          <c:overlay val="0"/>
          <c:spPr>
            <a:noFill/>
            <a:ln>
              <a:noFill/>
            </a:ln>
            <a:effectLst/>
          </c:spPr>
          <c:txPr>
            <a:bodyPr rot="0" spcFirstLastPara="1" vertOverflow="ellipsis" vert="horz" wrap="square" anchor="ctr" anchorCtr="1"/>
            <a:lstStyle/>
            <a:p>
              <a:pPr>
                <a:defRPr sz="1400" b="0" i="0" u="none" strike="noStrike" kern="1200" baseline="0">
                  <a:solidFill>
                    <a:srgbClr val="0E9ED9"/>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C00000"/>
                </a:solidFill>
                <a:latin typeface="+mn-lt"/>
                <a:ea typeface="+mn-ea"/>
                <a:cs typeface="+mn-cs"/>
              </a:defRPr>
            </a:pPr>
            <a:endParaRPr lang="en-US"/>
          </a:p>
        </c:txPr>
        <c:crossAx val="320271951"/>
        <c:crosses val="autoZero"/>
        <c:auto val="1"/>
        <c:lblAlgn val="ctr"/>
        <c:lblOffset val="100"/>
        <c:noMultiLvlLbl val="0"/>
      </c:catAx>
      <c:valAx>
        <c:axId val="320271951"/>
        <c:scaling>
          <c:orientation val="minMax"/>
        </c:scaling>
        <c:delete val="0"/>
        <c:axPos val="l"/>
        <c:majorGridlines>
          <c:spPr>
            <a:ln w="9525" cap="flat" cmpd="sng" algn="ctr">
              <a:solidFill>
                <a:srgbClr val="C00000"/>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solidFill>
                      <a:srgbClr val="0E9ED9"/>
                    </a:solidFill>
                  </a:rPr>
                  <a:t>amps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rgbClr val="C00000"/>
                </a:solidFill>
                <a:latin typeface="+mn-lt"/>
                <a:ea typeface="+mn-ea"/>
                <a:cs typeface="+mn-cs"/>
              </a:defRPr>
            </a:pPr>
            <a:endParaRPr lang="en-US"/>
          </a:p>
        </c:txPr>
        <c:crossAx val="320270991"/>
        <c:crosses val="autoZero"/>
        <c:crossBetween val="between"/>
      </c:valAx>
      <c:spPr>
        <a:noFill/>
        <a:ln>
          <a:solidFill>
            <a:srgbClr val="C00000"/>
          </a:solid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19050" cap="flat" cmpd="sng" algn="ctr">
      <a:solidFill>
        <a:srgbClr val="C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solidFill>
                  <a:srgbClr val="0E9ED9"/>
                </a:solidFill>
              </a:rPr>
              <a:t>Harmonic Filter Impedance</a:t>
            </a:r>
            <a:r>
              <a:rPr lang="en-US" sz="1400"/>
              <a:t> </a:t>
            </a:r>
          </a:p>
        </c:rich>
      </c:tx>
      <c:layout>
        <c:manualLayout>
          <c:xMode val="edge"/>
          <c:yMode val="edge"/>
          <c:x val="0.36735511161280626"/>
          <c:y val="2.3219116210638668E-2"/>
        </c:manualLayout>
      </c:layout>
      <c:overlay val="0"/>
    </c:title>
    <c:autoTitleDeleted val="0"/>
    <c:plotArea>
      <c:layout>
        <c:manualLayout>
          <c:layoutTarget val="inner"/>
          <c:xMode val="edge"/>
          <c:yMode val="edge"/>
          <c:x val="8.6266185476815402E-2"/>
          <c:y val="0.12872623936785796"/>
          <c:w val="0.85488298501358573"/>
          <c:h val="0.71265472482428827"/>
        </c:manualLayout>
      </c:layout>
      <c:scatterChart>
        <c:scatterStyle val="smoothMarker"/>
        <c:varyColors val="0"/>
        <c:ser>
          <c:idx val="0"/>
          <c:order val="0"/>
          <c:spPr>
            <a:ln>
              <a:solidFill>
                <a:srgbClr val="C00000"/>
              </a:solidFill>
            </a:ln>
          </c:spPr>
          <c:marker>
            <c:symbol val="none"/>
          </c:marker>
          <c:xVal>
            <c:numRef>
              <c:f>'Notch Filter Design'!$FN$5:$FN$250</c:f>
              <c:numCache>
                <c:formatCode>General</c:formatCode>
                <c:ptCount val="246"/>
                <c:pt idx="0">
                  <c:v>1</c:v>
                </c:pt>
                <c:pt idx="1">
                  <c:v>1.2</c:v>
                </c:pt>
                <c:pt idx="2">
                  <c:v>1.4</c:v>
                </c:pt>
                <c:pt idx="3">
                  <c:v>1.6</c:v>
                </c:pt>
                <c:pt idx="4">
                  <c:v>1.8</c:v>
                </c:pt>
                <c:pt idx="5">
                  <c:v>2</c:v>
                </c:pt>
                <c:pt idx="6">
                  <c:v>2.2000000000000002</c:v>
                </c:pt>
                <c:pt idx="7">
                  <c:v>2.4</c:v>
                </c:pt>
                <c:pt idx="8">
                  <c:v>2.6</c:v>
                </c:pt>
                <c:pt idx="9">
                  <c:v>2.8</c:v>
                </c:pt>
                <c:pt idx="10">
                  <c:v>3</c:v>
                </c:pt>
                <c:pt idx="11">
                  <c:v>3.2</c:v>
                </c:pt>
                <c:pt idx="12">
                  <c:v>3.4</c:v>
                </c:pt>
                <c:pt idx="13">
                  <c:v>3.6</c:v>
                </c:pt>
                <c:pt idx="14">
                  <c:v>3.8</c:v>
                </c:pt>
                <c:pt idx="15">
                  <c:v>4</c:v>
                </c:pt>
                <c:pt idx="16">
                  <c:v>4.2</c:v>
                </c:pt>
                <c:pt idx="17">
                  <c:v>4.4000000000000004</c:v>
                </c:pt>
                <c:pt idx="18">
                  <c:v>4.5999999999999996</c:v>
                </c:pt>
                <c:pt idx="19">
                  <c:v>4.8</c:v>
                </c:pt>
                <c:pt idx="20">
                  <c:v>5</c:v>
                </c:pt>
                <c:pt idx="21">
                  <c:v>5.2</c:v>
                </c:pt>
                <c:pt idx="22">
                  <c:v>5.4</c:v>
                </c:pt>
                <c:pt idx="23">
                  <c:v>5.6</c:v>
                </c:pt>
                <c:pt idx="24">
                  <c:v>5.8</c:v>
                </c:pt>
                <c:pt idx="25">
                  <c:v>6</c:v>
                </c:pt>
                <c:pt idx="26">
                  <c:v>6.2</c:v>
                </c:pt>
                <c:pt idx="27">
                  <c:v>6.4</c:v>
                </c:pt>
                <c:pt idx="28">
                  <c:v>6.6</c:v>
                </c:pt>
                <c:pt idx="29">
                  <c:v>6.8</c:v>
                </c:pt>
                <c:pt idx="30">
                  <c:v>7</c:v>
                </c:pt>
                <c:pt idx="31">
                  <c:v>7.2</c:v>
                </c:pt>
                <c:pt idx="32">
                  <c:v>7.4</c:v>
                </c:pt>
                <c:pt idx="33">
                  <c:v>7.6</c:v>
                </c:pt>
                <c:pt idx="34">
                  <c:v>7.8</c:v>
                </c:pt>
                <c:pt idx="35">
                  <c:v>8</c:v>
                </c:pt>
                <c:pt idx="36">
                  <c:v>8.1999999999999993</c:v>
                </c:pt>
                <c:pt idx="37">
                  <c:v>8.4</c:v>
                </c:pt>
                <c:pt idx="38">
                  <c:v>8.6</c:v>
                </c:pt>
                <c:pt idx="39">
                  <c:v>8.8000000000000007</c:v>
                </c:pt>
                <c:pt idx="40">
                  <c:v>9</c:v>
                </c:pt>
                <c:pt idx="41">
                  <c:v>9.1999999999999993</c:v>
                </c:pt>
                <c:pt idx="42">
                  <c:v>9.4</c:v>
                </c:pt>
                <c:pt idx="43">
                  <c:v>9.6</c:v>
                </c:pt>
                <c:pt idx="44">
                  <c:v>9.8000000000000007</c:v>
                </c:pt>
                <c:pt idx="45">
                  <c:v>10</c:v>
                </c:pt>
                <c:pt idx="46">
                  <c:v>10.199999999999999</c:v>
                </c:pt>
                <c:pt idx="47">
                  <c:v>10.4</c:v>
                </c:pt>
                <c:pt idx="48">
                  <c:v>10.6</c:v>
                </c:pt>
                <c:pt idx="49">
                  <c:v>10.8</c:v>
                </c:pt>
                <c:pt idx="50">
                  <c:v>11</c:v>
                </c:pt>
                <c:pt idx="51">
                  <c:v>11.2</c:v>
                </c:pt>
                <c:pt idx="52">
                  <c:v>11.4</c:v>
                </c:pt>
                <c:pt idx="53">
                  <c:v>11.6</c:v>
                </c:pt>
                <c:pt idx="54">
                  <c:v>11.8</c:v>
                </c:pt>
                <c:pt idx="55">
                  <c:v>12</c:v>
                </c:pt>
                <c:pt idx="56">
                  <c:v>12.2</c:v>
                </c:pt>
                <c:pt idx="57">
                  <c:v>12.4</c:v>
                </c:pt>
                <c:pt idx="58">
                  <c:v>12.6</c:v>
                </c:pt>
                <c:pt idx="59">
                  <c:v>12.8</c:v>
                </c:pt>
                <c:pt idx="60">
                  <c:v>13</c:v>
                </c:pt>
                <c:pt idx="61">
                  <c:v>13.2</c:v>
                </c:pt>
                <c:pt idx="62">
                  <c:v>13.4</c:v>
                </c:pt>
                <c:pt idx="63">
                  <c:v>13.6</c:v>
                </c:pt>
                <c:pt idx="64">
                  <c:v>13.8</c:v>
                </c:pt>
                <c:pt idx="65">
                  <c:v>14</c:v>
                </c:pt>
                <c:pt idx="66">
                  <c:v>14.2</c:v>
                </c:pt>
                <c:pt idx="67">
                  <c:v>14.4</c:v>
                </c:pt>
                <c:pt idx="68">
                  <c:v>14.6</c:v>
                </c:pt>
                <c:pt idx="69">
                  <c:v>14.8</c:v>
                </c:pt>
                <c:pt idx="70">
                  <c:v>15</c:v>
                </c:pt>
                <c:pt idx="71">
                  <c:v>15.2</c:v>
                </c:pt>
                <c:pt idx="72">
                  <c:v>15.4</c:v>
                </c:pt>
                <c:pt idx="73">
                  <c:v>15.6</c:v>
                </c:pt>
                <c:pt idx="74">
                  <c:v>15.8</c:v>
                </c:pt>
                <c:pt idx="75">
                  <c:v>16</c:v>
                </c:pt>
                <c:pt idx="76">
                  <c:v>16.2</c:v>
                </c:pt>
                <c:pt idx="77">
                  <c:v>16.399999999999999</c:v>
                </c:pt>
                <c:pt idx="78">
                  <c:v>16.600000000000001</c:v>
                </c:pt>
                <c:pt idx="79">
                  <c:v>16.8</c:v>
                </c:pt>
                <c:pt idx="80">
                  <c:v>17</c:v>
                </c:pt>
                <c:pt idx="81">
                  <c:v>17.2</c:v>
                </c:pt>
                <c:pt idx="82">
                  <c:v>17.399999999999999</c:v>
                </c:pt>
                <c:pt idx="83">
                  <c:v>17.600000000000001</c:v>
                </c:pt>
                <c:pt idx="84">
                  <c:v>17.8</c:v>
                </c:pt>
                <c:pt idx="85">
                  <c:v>18</c:v>
                </c:pt>
                <c:pt idx="86">
                  <c:v>18.2</c:v>
                </c:pt>
                <c:pt idx="87">
                  <c:v>18.399999999999999</c:v>
                </c:pt>
                <c:pt idx="88">
                  <c:v>18.600000000000001</c:v>
                </c:pt>
                <c:pt idx="89">
                  <c:v>18.8</c:v>
                </c:pt>
                <c:pt idx="90">
                  <c:v>19</c:v>
                </c:pt>
                <c:pt idx="91">
                  <c:v>19.2</c:v>
                </c:pt>
                <c:pt idx="92">
                  <c:v>19.399999999999999</c:v>
                </c:pt>
                <c:pt idx="93">
                  <c:v>19.600000000000001</c:v>
                </c:pt>
                <c:pt idx="94">
                  <c:v>19.8</c:v>
                </c:pt>
                <c:pt idx="95">
                  <c:v>20</c:v>
                </c:pt>
                <c:pt idx="96">
                  <c:v>20.2</c:v>
                </c:pt>
                <c:pt idx="97">
                  <c:v>20.399999999999999</c:v>
                </c:pt>
                <c:pt idx="98">
                  <c:v>20.6</c:v>
                </c:pt>
                <c:pt idx="99">
                  <c:v>20.8</c:v>
                </c:pt>
                <c:pt idx="100">
                  <c:v>21</c:v>
                </c:pt>
                <c:pt idx="101">
                  <c:v>21.2</c:v>
                </c:pt>
                <c:pt idx="102">
                  <c:v>21.4</c:v>
                </c:pt>
                <c:pt idx="103">
                  <c:v>21.6</c:v>
                </c:pt>
                <c:pt idx="104">
                  <c:v>21.8</c:v>
                </c:pt>
                <c:pt idx="105">
                  <c:v>22</c:v>
                </c:pt>
                <c:pt idx="106">
                  <c:v>22.2</c:v>
                </c:pt>
                <c:pt idx="107">
                  <c:v>22.4</c:v>
                </c:pt>
                <c:pt idx="108">
                  <c:v>22.6</c:v>
                </c:pt>
                <c:pt idx="109">
                  <c:v>22.8</c:v>
                </c:pt>
                <c:pt idx="110">
                  <c:v>23</c:v>
                </c:pt>
                <c:pt idx="111">
                  <c:v>23.2</c:v>
                </c:pt>
                <c:pt idx="112">
                  <c:v>23.4</c:v>
                </c:pt>
                <c:pt idx="113">
                  <c:v>23.6</c:v>
                </c:pt>
                <c:pt idx="114">
                  <c:v>23.8</c:v>
                </c:pt>
                <c:pt idx="115">
                  <c:v>24</c:v>
                </c:pt>
                <c:pt idx="116">
                  <c:v>24.2</c:v>
                </c:pt>
                <c:pt idx="117">
                  <c:v>24.4</c:v>
                </c:pt>
                <c:pt idx="118">
                  <c:v>24.6</c:v>
                </c:pt>
                <c:pt idx="119">
                  <c:v>24.8</c:v>
                </c:pt>
                <c:pt idx="120">
                  <c:v>25</c:v>
                </c:pt>
                <c:pt idx="121">
                  <c:v>25.2</c:v>
                </c:pt>
                <c:pt idx="122">
                  <c:v>25.4</c:v>
                </c:pt>
                <c:pt idx="123">
                  <c:v>25.6</c:v>
                </c:pt>
                <c:pt idx="124">
                  <c:v>25.8</c:v>
                </c:pt>
                <c:pt idx="125">
                  <c:v>26</c:v>
                </c:pt>
                <c:pt idx="126">
                  <c:v>26.2</c:v>
                </c:pt>
                <c:pt idx="127">
                  <c:v>26.4</c:v>
                </c:pt>
                <c:pt idx="128">
                  <c:v>26.6</c:v>
                </c:pt>
                <c:pt idx="129">
                  <c:v>26.8</c:v>
                </c:pt>
                <c:pt idx="130">
                  <c:v>27</c:v>
                </c:pt>
                <c:pt idx="131">
                  <c:v>27.2</c:v>
                </c:pt>
                <c:pt idx="132">
                  <c:v>27.4</c:v>
                </c:pt>
                <c:pt idx="133">
                  <c:v>27.6</c:v>
                </c:pt>
                <c:pt idx="134">
                  <c:v>27.8</c:v>
                </c:pt>
                <c:pt idx="135">
                  <c:v>28</c:v>
                </c:pt>
                <c:pt idx="136">
                  <c:v>28.2</c:v>
                </c:pt>
                <c:pt idx="137">
                  <c:v>28.4</c:v>
                </c:pt>
                <c:pt idx="138">
                  <c:v>28.6</c:v>
                </c:pt>
                <c:pt idx="139">
                  <c:v>28.8</c:v>
                </c:pt>
                <c:pt idx="140">
                  <c:v>29</c:v>
                </c:pt>
                <c:pt idx="141">
                  <c:v>29.2</c:v>
                </c:pt>
                <c:pt idx="142">
                  <c:v>29.4</c:v>
                </c:pt>
                <c:pt idx="143">
                  <c:v>29.6</c:v>
                </c:pt>
                <c:pt idx="144">
                  <c:v>29.8</c:v>
                </c:pt>
                <c:pt idx="145">
                  <c:v>30</c:v>
                </c:pt>
                <c:pt idx="146">
                  <c:v>30.2</c:v>
                </c:pt>
                <c:pt idx="147">
                  <c:v>30.4</c:v>
                </c:pt>
                <c:pt idx="148">
                  <c:v>30.6</c:v>
                </c:pt>
                <c:pt idx="149">
                  <c:v>30.8</c:v>
                </c:pt>
                <c:pt idx="150">
                  <c:v>31</c:v>
                </c:pt>
                <c:pt idx="151">
                  <c:v>31.2</c:v>
                </c:pt>
                <c:pt idx="152">
                  <c:v>31.4</c:v>
                </c:pt>
                <c:pt idx="153">
                  <c:v>31.6</c:v>
                </c:pt>
                <c:pt idx="154">
                  <c:v>31.8</c:v>
                </c:pt>
                <c:pt idx="155">
                  <c:v>32</c:v>
                </c:pt>
                <c:pt idx="156">
                  <c:v>32.200000000000003</c:v>
                </c:pt>
                <c:pt idx="157">
                  <c:v>32.4</c:v>
                </c:pt>
                <c:pt idx="158">
                  <c:v>32.6</c:v>
                </c:pt>
                <c:pt idx="159">
                  <c:v>32.799999999999997</c:v>
                </c:pt>
                <c:pt idx="160">
                  <c:v>33</c:v>
                </c:pt>
                <c:pt idx="161">
                  <c:v>33.200000000000003</c:v>
                </c:pt>
                <c:pt idx="162">
                  <c:v>33.4</c:v>
                </c:pt>
                <c:pt idx="163">
                  <c:v>33.6</c:v>
                </c:pt>
                <c:pt idx="164">
                  <c:v>33.799999999999997</c:v>
                </c:pt>
                <c:pt idx="165">
                  <c:v>34</c:v>
                </c:pt>
                <c:pt idx="166">
                  <c:v>34.200000000000003</c:v>
                </c:pt>
                <c:pt idx="167">
                  <c:v>34.4</c:v>
                </c:pt>
                <c:pt idx="168">
                  <c:v>34.6</c:v>
                </c:pt>
                <c:pt idx="169">
                  <c:v>34.799999999999997</c:v>
                </c:pt>
                <c:pt idx="170">
                  <c:v>35</c:v>
                </c:pt>
                <c:pt idx="171">
                  <c:v>35.200000000000003</c:v>
                </c:pt>
                <c:pt idx="172">
                  <c:v>35.4</c:v>
                </c:pt>
                <c:pt idx="173">
                  <c:v>35.6</c:v>
                </c:pt>
                <c:pt idx="174">
                  <c:v>35.799999999999997</c:v>
                </c:pt>
                <c:pt idx="175">
                  <c:v>36</c:v>
                </c:pt>
                <c:pt idx="176">
                  <c:v>36.200000000000003</c:v>
                </c:pt>
                <c:pt idx="177">
                  <c:v>36.4</c:v>
                </c:pt>
                <c:pt idx="178">
                  <c:v>36.6</c:v>
                </c:pt>
                <c:pt idx="179">
                  <c:v>36.799999999999997</c:v>
                </c:pt>
                <c:pt idx="180">
                  <c:v>37</c:v>
                </c:pt>
                <c:pt idx="181">
                  <c:v>37.200000000000003</c:v>
                </c:pt>
                <c:pt idx="182">
                  <c:v>37.4</c:v>
                </c:pt>
                <c:pt idx="183">
                  <c:v>37.6</c:v>
                </c:pt>
                <c:pt idx="184">
                  <c:v>37.799999999999997</c:v>
                </c:pt>
                <c:pt idx="185">
                  <c:v>38</c:v>
                </c:pt>
                <c:pt idx="186">
                  <c:v>38.200000000000003</c:v>
                </c:pt>
                <c:pt idx="187">
                  <c:v>38.4</c:v>
                </c:pt>
                <c:pt idx="188">
                  <c:v>38.6</c:v>
                </c:pt>
                <c:pt idx="189">
                  <c:v>38.799999999999997</c:v>
                </c:pt>
                <c:pt idx="190">
                  <c:v>39</c:v>
                </c:pt>
                <c:pt idx="191">
                  <c:v>39.200000000000003</c:v>
                </c:pt>
                <c:pt idx="192">
                  <c:v>39.4</c:v>
                </c:pt>
                <c:pt idx="193">
                  <c:v>39.6</c:v>
                </c:pt>
                <c:pt idx="194">
                  <c:v>39.799999999999997</c:v>
                </c:pt>
                <c:pt idx="195">
                  <c:v>40</c:v>
                </c:pt>
                <c:pt idx="196">
                  <c:v>40.200000000000003</c:v>
                </c:pt>
                <c:pt idx="197">
                  <c:v>40.4</c:v>
                </c:pt>
                <c:pt idx="198">
                  <c:v>40.6</c:v>
                </c:pt>
                <c:pt idx="199">
                  <c:v>40.799999999999997</c:v>
                </c:pt>
                <c:pt idx="200">
                  <c:v>41</c:v>
                </c:pt>
                <c:pt idx="201">
                  <c:v>41.2</c:v>
                </c:pt>
                <c:pt idx="202">
                  <c:v>41.4</c:v>
                </c:pt>
                <c:pt idx="203">
                  <c:v>41.6</c:v>
                </c:pt>
                <c:pt idx="204">
                  <c:v>41.8</c:v>
                </c:pt>
                <c:pt idx="205">
                  <c:v>42</c:v>
                </c:pt>
                <c:pt idx="206">
                  <c:v>42.2</c:v>
                </c:pt>
                <c:pt idx="207">
                  <c:v>42.4</c:v>
                </c:pt>
                <c:pt idx="208">
                  <c:v>42.6</c:v>
                </c:pt>
                <c:pt idx="209">
                  <c:v>42.8</c:v>
                </c:pt>
                <c:pt idx="210">
                  <c:v>43</c:v>
                </c:pt>
                <c:pt idx="211">
                  <c:v>43.2</c:v>
                </c:pt>
                <c:pt idx="212">
                  <c:v>43.4</c:v>
                </c:pt>
                <c:pt idx="213">
                  <c:v>43.6</c:v>
                </c:pt>
                <c:pt idx="214">
                  <c:v>43.8</c:v>
                </c:pt>
                <c:pt idx="215">
                  <c:v>44</c:v>
                </c:pt>
                <c:pt idx="216">
                  <c:v>44.2</c:v>
                </c:pt>
                <c:pt idx="217">
                  <c:v>44.4</c:v>
                </c:pt>
                <c:pt idx="218">
                  <c:v>44.6</c:v>
                </c:pt>
                <c:pt idx="219">
                  <c:v>44.8</c:v>
                </c:pt>
                <c:pt idx="220">
                  <c:v>45</c:v>
                </c:pt>
                <c:pt idx="221">
                  <c:v>45.2</c:v>
                </c:pt>
                <c:pt idx="222">
                  <c:v>45.4</c:v>
                </c:pt>
                <c:pt idx="223">
                  <c:v>45.6</c:v>
                </c:pt>
                <c:pt idx="224">
                  <c:v>45.8</c:v>
                </c:pt>
                <c:pt idx="225">
                  <c:v>46</c:v>
                </c:pt>
                <c:pt idx="226">
                  <c:v>46.2</c:v>
                </c:pt>
                <c:pt idx="227">
                  <c:v>46.4</c:v>
                </c:pt>
                <c:pt idx="228">
                  <c:v>46.6</c:v>
                </c:pt>
                <c:pt idx="229">
                  <c:v>46.8</c:v>
                </c:pt>
                <c:pt idx="230">
                  <c:v>47</c:v>
                </c:pt>
                <c:pt idx="231">
                  <c:v>47.2</c:v>
                </c:pt>
                <c:pt idx="232">
                  <c:v>47.4</c:v>
                </c:pt>
                <c:pt idx="233">
                  <c:v>47.6</c:v>
                </c:pt>
                <c:pt idx="234">
                  <c:v>47.8</c:v>
                </c:pt>
                <c:pt idx="235">
                  <c:v>48</c:v>
                </c:pt>
                <c:pt idx="236">
                  <c:v>48.2</c:v>
                </c:pt>
                <c:pt idx="237">
                  <c:v>48.4</c:v>
                </c:pt>
                <c:pt idx="238">
                  <c:v>48.6</c:v>
                </c:pt>
                <c:pt idx="239">
                  <c:v>48.8</c:v>
                </c:pt>
                <c:pt idx="240">
                  <c:v>49</c:v>
                </c:pt>
                <c:pt idx="241">
                  <c:v>49.2</c:v>
                </c:pt>
                <c:pt idx="242">
                  <c:v>49.4</c:v>
                </c:pt>
                <c:pt idx="243">
                  <c:v>49.6</c:v>
                </c:pt>
                <c:pt idx="244">
                  <c:v>49.8</c:v>
                </c:pt>
                <c:pt idx="245">
                  <c:v>50</c:v>
                </c:pt>
              </c:numCache>
            </c:numRef>
          </c:xVal>
          <c:yVal>
            <c:numRef>
              <c:f>'Notch Filter Design'!$FO$5:$FO$250</c:f>
              <c:numCache>
                <c:formatCode>General</c:formatCode>
                <c:ptCount val="246"/>
                <c:pt idx="0">
                  <c:v>25.91681929172039</c:v>
                </c:pt>
                <c:pt idx="1">
                  <c:v>21.20139880142386</c:v>
                </c:pt>
                <c:pt idx="2">
                  <c:v>17.771535342091997</c:v>
                </c:pt>
                <c:pt idx="3">
                  <c:v>15.145143921660203</c:v>
                </c:pt>
                <c:pt idx="4">
                  <c:v>13.054401549738309</c:v>
                </c:pt>
                <c:pt idx="5">
                  <c:v>11.33861223821725</c:v>
                </c:pt>
                <c:pt idx="6">
                  <c:v>9.8955180021232341</c:v>
                </c:pt>
                <c:pt idx="7">
                  <c:v>8.6569428608658949</c:v>
                </c:pt>
                <c:pt idx="8">
                  <c:v>7.5756928400923176</c:v>
                </c:pt>
                <c:pt idx="9">
                  <c:v>6.6180529745641206</c:v>
                </c:pt>
                <c:pt idx="10">
                  <c:v>5.7593033127323654</c:v>
                </c:pt>
                <c:pt idx="11">
                  <c:v>4.9808999243856524</c:v>
                </c:pt>
                <c:pt idx="12">
                  <c:v>4.2686659139952612</c:v>
                </c:pt>
                <c:pt idx="13">
                  <c:v>3.6115724455335241</c:v>
                </c:pt>
                <c:pt idx="14">
                  <c:v>3.0009147920635795</c:v>
                </c:pt>
                <c:pt idx="15">
                  <c:v>2.4297264448914815</c:v>
                </c:pt>
                <c:pt idx="16">
                  <c:v>1.892370386346711</c:v>
                </c:pt>
                <c:pt idx="17">
                  <c:v>1.3842369081327806</c:v>
                </c:pt>
                <c:pt idx="18">
                  <c:v>0.90151988459323495</c:v>
                </c:pt>
                <c:pt idx="19">
                  <c:v>0.4410806764266601</c:v>
                </c:pt>
                <c:pt idx="20">
                  <c:v>1.0899000000000001E-2</c:v>
                </c:pt>
                <c:pt idx="21">
                  <c:v>0.42378017627184977</c:v>
                </c:pt>
                <c:pt idx="22">
                  <c:v>0.83196939282944782</c:v>
                </c:pt>
                <c:pt idx="23">
                  <c:v>1.2264694278464505</c:v>
                </c:pt>
                <c:pt idx="24">
                  <c:v>1.6086669217401717</c:v>
                </c:pt>
                <c:pt idx="25">
                  <c:v>1.9797870004750509</c:v>
                </c:pt>
                <c:pt idx="26">
                  <c:v>2.340899372479945</c:v>
                </c:pt>
                <c:pt idx="27">
                  <c:v>2.6929410555676854</c:v>
                </c:pt>
                <c:pt idx="28">
                  <c:v>3.0367375585856937</c:v>
                </c:pt>
                <c:pt idx="29">
                  <c:v>3.3730146086564754</c:v>
                </c:pt>
                <c:pt idx="30">
                  <c:v>3.7024190420061855</c:v>
                </c:pt>
                <c:pt idx="31">
                  <c:v>4.0255207544163776</c:v>
                </c:pt>
                <c:pt idx="32">
                  <c:v>4.342830676378024</c:v>
                </c:pt>
                <c:pt idx="33">
                  <c:v>4.6548097597442162</c:v>
                </c:pt>
                <c:pt idx="34">
                  <c:v>4.9618639701330993</c:v>
                </c:pt>
                <c:pt idx="35">
                  <c:v>5.26436428230513</c:v>
                </c:pt>
                <c:pt idx="36">
                  <c:v>5.562643677325557</c:v>
                </c:pt>
                <c:pt idx="37">
                  <c:v>5.8570051407033956</c:v>
                </c:pt>
                <c:pt idx="38">
                  <c:v>6.1477196611671383</c:v>
                </c:pt>
                <c:pt idx="39">
                  <c:v>6.4350372298056673</c:v>
                </c:pt>
                <c:pt idx="40">
                  <c:v>6.7191828394885187</c:v>
                </c:pt>
                <c:pt idx="41">
                  <c:v>7.0003664844324405</c:v>
                </c:pt>
                <c:pt idx="42">
                  <c:v>7.2787731599099867</c:v>
                </c:pt>
                <c:pt idx="43">
                  <c:v>7.5545798620032478</c:v>
                </c:pt>
                <c:pt idx="44">
                  <c:v>7.8279435874498358</c:v>
                </c:pt>
                <c:pt idx="45">
                  <c:v>8.0990133335016186</c:v>
                </c:pt>
                <c:pt idx="46">
                  <c:v>8.3679200978361408</c:v>
                </c:pt>
                <c:pt idx="47">
                  <c:v>8.6347928784654115</c:v>
                </c:pt>
                <c:pt idx="48">
                  <c:v>8.899743673689148</c:v>
                </c:pt>
                <c:pt idx="49">
                  <c:v>9.1628814820353313</c:v>
                </c:pt>
                <c:pt idx="50">
                  <c:v>9.4243033022292941</c:v>
                </c:pt>
                <c:pt idx="51">
                  <c:v>9.6841021331570545</c:v>
                </c:pt>
                <c:pt idx="52">
                  <c:v>9.9423639738426903</c:v>
                </c:pt>
                <c:pt idx="53">
                  <c:v>10.199166823428373</c:v>
                </c:pt>
                <c:pt idx="54">
                  <c:v>10.454585681154514</c:v>
                </c:pt>
                <c:pt idx="55">
                  <c:v>10.708689546347722</c:v>
                </c:pt>
                <c:pt idx="56">
                  <c:v>10.961544418407563</c:v>
                </c:pt>
                <c:pt idx="57">
                  <c:v>11.21320829679936</c:v>
                </c:pt>
                <c:pt idx="58">
                  <c:v>11.463740181041528</c:v>
                </c:pt>
                <c:pt idx="59">
                  <c:v>11.71319107070302</c:v>
                </c:pt>
                <c:pt idx="60">
                  <c:v>11.961612965393295</c:v>
                </c:pt>
                <c:pt idx="61">
                  <c:v>12.209050864760824</c:v>
                </c:pt>
                <c:pt idx="62">
                  <c:v>12.455549768485774</c:v>
                </c:pt>
                <c:pt idx="63">
                  <c:v>12.701150676277996</c:v>
                </c:pt>
                <c:pt idx="64">
                  <c:v>12.945893587872641</c:v>
                </c:pt>
                <c:pt idx="65">
                  <c:v>13.189812503029184</c:v>
                </c:pt>
                <c:pt idx="66">
                  <c:v>13.43294642152514</c:v>
                </c:pt>
                <c:pt idx="67">
                  <c:v>13.675324343159142</c:v>
                </c:pt>
                <c:pt idx="68">
                  <c:v>13.916979267744349</c:v>
                </c:pt>
                <c:pt idx="69">
                  <c:v>14.157941195109197</c:v>
                </c:pt>
                <c:pt idx="70">
                  <c:v>14.398235125096479</c:v>
                </c:pt>
                <c:pt idx="71">
                  <c:v>14.637890057559423</c:v>
                </c:pt>
                <c:pt idx="72">
                  <c:v>14.876929992363243</c:v>
                </c:pt>
                <c:pt idx="73">
                  <c:v>15.115377929382941</c:v>
                </c:pt>
                <c:pt idx="74">
                  <c:v>15.353256868502202</c:v>
                </c:pt>
                <c:pt idx="75">
                  <c:v>15.590588809612868</c:v>
                </c:pt>
                <c:pt idx="76">
                  <c:v>15.827392752614751</c:v>
                </c:pt>
                <c:pt idx="77">
                  <c:v>16.063689697413761</c:v>
                </c:pt>
                <c:pt idx="78">
                  <c:v>16.299495643923002</c:v>
                </c:pt>
                <c:pt idx="79">
                  <c:v>16.534830592060203</c:v>
                </c:pt>
                <c:pt idx="80">
                  <c:v>16.769708541749495</c:v>
                </c:pt>
                <c:pt idx="81">
                  <c:v>17.004147492918808</c:v>
                </c:pt>
                <c:pt idx="82">
                  <c:v>17.238161445501227</c:v>
                </c:pt>
                <c:pt idx="83">
                  <c:v>17.471766399433399</c:v>
                </c:pt>
                <c:pt idx="84">
                  <c:v>17.704974354656436</c:v>
                </c:pt>
                <c:pt idx="85">
                  <c:v>17.937800311114238</c:v>
                </c:pt>
                <c:pt idx="86">
                  <c:v>18.170255268754619</c:v>
                </c:pt>
                <c:pt idx="87">
                  <c:v>18.402351227528101</c:v>
                </c:pt>
                <c:pt idx="88">
                  <c:v>18.634101187387735</c:v>
                </c:pt>
                <c:pt idx="89">
                  <c:v>18.865515148289617</c:v>
                </c:pt>
                <c:pt idx="90">
                  <c:v>19.096605110191838</c:v>
                </c:pt>
                <c:pt idx="91">
                  <c:v>19.327379073055329</c:v>
                </c:pt>
                <c:pt idx="92">
                  <c:v>19.55784803684255</c:v>
                </c:pt>
                <c:pt idx="93">
                  <c:v>19.788021001518192</c:v>
                </c:pt>
                <c:pt idx="94">
                  <c:v>20.017907967048554</c:v>
                </c:pt>
                <c:pt idx="95">
                  <c:v>20.247515933402052</c:v>
                </c:pt>
                <c:pt idx="96">
                  <c:v>20.476853900548345</c:v>
                </c:pt>
                <c:pt idx="97">
                  <c:v>20.7059298684587</c:v>
                </c:pt>
                <c:pt idx="98">
                  <c:v>20.934751837105736</c:v>
                </c:pt>
                <c:pt idx="99">
                  <c:v>21.163325806463639</c:v>
                </c:pt>
                <c:pt idx="100">
                  <c:v>21.39166177650727</c:v>
                </c:pt>
                <c:pt idx="101">
                  <c:v>21.61976274721351</c:v>
                </c:pt>
                <c:pt idx="102">
                  <c:v>21.84763771855955</c:v>
                </c:pt>
                <c:pt idx="103">
                  <c:v>22.075291690524097</c:v>
                </c:pt>
                <c:pt idx="104">
                  <c:v>22.302730663086638</c:v>
                </c:pt>
                <c:pt idx="105">
                  <c:v>22.52996263622736</c:v>
                </c:pt>
                <c:pt idx="106">
                  <c:v>22.756990609927865</c:v>
                </c:pt>
                <c:pt idx="107">
                  <c:v>22.98382258416996</c:v>
                </c:pt>
                <c:pt idx="108">
                  <c:v>23.210460558936887</c:v>
                </c:pt>
                <c:pt idx="109">
                  <c:v>23.436913534211833</c:v>
                </c:pt>
                <c:pt idx="110">
                  <c:v>23.663182509979531</c:v>
                </c:pt>
                <c:pt idx="111">
                  <c:v>23.88927548622457</c:v>
                </c:pt>
                <c:pt idx="112">
                  <c:v>24.115194462932806</c:v>
                </c:pt>
                <c:pt idx="113">
                  <c:v>24.340945440090238</c:v>
                </c:pt>
                <c:pt idx="114">
                  <c:v>24.566531417683738</c:v>
                </c:pt>
                <c:pt idx="115">
                  <c:v>24.791957395700447</c:v>
                </c:pt>
                <c:pt idx="116">
                  <c:v>25.017227374128133</c:v>
                </c:pt>
                <c:pt idx="117">
                  <c:v>25.24234535295502</c:v>
                </c:pt>
                <c:pt idx="118">
                  <c:v>25.467313332169965</c:v>
                </c:pt>
                <c:pt idx="119">
                  <c:v>25.692137311761865</c:v>
                </c:pt>
                <c:pt idx="120">
                  <c:v>25.91681929172039</c:v>
                </c:pt>
                <c:pt idx="121">
                  <c:v>26.141363272035413</c:v>
                </c:pt>
                <c:pt idx="122">
                  <c:v>26.36577125269735</c:v>
                </c:pt>
                <c:pt idx="123">
                  <c:v>26.590048233696706</c:v>
                </c:pt>
                <c:pt idx="124">
                  <c:v>26.814197215024468</c:v>
                </c:pt>
                <c:pt idx="125">
                  <c:v>27.038219196672145</c:v>
                </c:pt>
                <c:pt idx="126">
                  <c:v>27.262119178631181</c:v>
                </c:pt>
                <c:pt idx="127">
                  <c:v>27.485898160893651</c:v>
                </c:pt>
                <c:pt idx="128">
                  <c:v>27.709561143451584</c:v>
                </c:pt>
                <c:pt idx="129">
                  <c:v>27.933108126297672</c:v>
                </c:pt>
                <c:pt idx="130">
                  <c:v>28.156544109424459</c:v>
                </c:pt>
                <c:pt idx="131">
                  <c:v>28.379869092825114</c:v>
                </c:pt>
                <c:pt idx="132">
                  <c:v>28.603088076492671</c:v>
                </c:pt>
                <c:pt idx="133">
                  <c:v>28.826200060420817</c:v>
                </c:pt>
                <c:pt idx="134">
                  <c:v>29.049211044602952</c:v>
                </c:pt>
                <c:pt idx="135">
                  <c:v>29.272121029033105</c:v>
                </c:pt>
                <c:pt idx="136">
                  <c:v>29.494933013705289</c:v>
                </c:pt>
                <c:pt idx="137">
                  <c:v>29.717647998613831</c:v>
                </c:pt>
                <c:pt idx="138">
                  <c:v>29.940268983753136</c:v>
                </c:pt>
                <c:pt idx="139">
                  <c:v>30.162796969117863</c:v>
                </c:pt>
                <c:pt idx="140">
                  <c:v>30.385234954702749</c:v>
                </c:pt>
                <c:pt idx="141">
                  <c:v>30.607584940502736</c:v>
                </c:pt>
                <c:pt idx="142">
                  <c:v>30.829846926513046</c:v>
                </c:pt>
                <c:pt idx="143">
                  <c:v>31.052025912728737</c:v>
                </c:pt>
                <c:pt idx="144">
                  <c:v>31.274119899145447</c:v>
                </c:pt>
                <c:pt idx="145">
                  <c:v>31.4961338857585</c:v>
                </c:pt>
                <c:pt idx="146">
                  <c:v>31.718065872563809</c:v>
                </c:pt>
                <c:pt idx="147">
                  <c:v>31.93992085955696</c:v>
                </c:pt>
                <c:pt idx="148">
                  <c:v>32.161697846734043</c:v>
                </c:pt>
                <c:pt idx="149">
                  <c:v>32.383400834090942</c:v>
                </c:pt>
                <c:pt idx="150">
                  <c:v>32.605028821623968</c:v>
                </c:pt>
                <c:pt idx="151">
                  <c:v>32.826585809329252</c:v>
                </c:pt>
                <c:pt idx="152">
                  <c:v>33.048069797203361</c:v>
                </c:pt>
                <c:pt idx="153">
                  <c:v>33.269485785242566</c:v>
                </c:pt>
                <c:pt idx="154">
                  <c:v>33.490831773443624</c:v>
                </c:pt>
                <c:pt idx="155">
                  <c:v>33.712111761803072</c:v>
                </c:pt>
                <c:pt idx="156">
                  <c:v>33.933324750317794</c:v>
                </c:pt>
                <c:pt idx="157">
                  <c:v>34.154473738984549</c:v>
                </c:pt>
                <c:pt idx="158">
                  <c:v>34.375558727800339</c:v>
                </c:pt>
                <c:pt idx="159">
                  <c:v>34.596580716762197</c:v>
                </c:pt>
                <c:pt idx="160">
                  <c:v>34.817543705867088</c:v>
                </c:pt>
                <c:pt idx="161">
                  <c:v>35.038444695112396</c:v>
                </c:pt>
                <c:pt idx="162">
                  <c:v>35.259287684495227</c:v>
                </c:pt>
                <c:pt idx="163">
                  <c:v>35.480071674013011</c:v>
                </c:pt>
                <c:pt idx="164">
                  <c:v>35.700800663663024</c:v>
                </c:pt>
                <c:pt idx="165">
                  <c:v>35.921471653442893</c:v>
                </c:pt>
                <c:pt idx="166">
                  <c:v>36.142088643350014</c:v>
                </c:pt>
                <c:pt idx="167">
                  <c:v>36.362651633382036</c:v>
                </c:pt>
                <c:pt idx="168">
                  <c:v>36.583161623536597</c:v>
                </c:pt>
                <c:pt idx="169">
                  <c:v>36.803618613811473</c:v>
                </c:pt>
                <c:pt idx="170">
                  <c:v>37.024025604204311</c:v>
                </c:pt>
                <c:pt idx="171">
                  <c:v>37.244381594713062</c:v>
                </c:pt>
                <c:pt idx="172">
                  <c:v>37.464688585335523</c:v>
                </c:pt>
                <c:pt idx="173">
                  <c:v>37.684945576069723</c:v>
                </c:pt>
                <c:pt idx="174">
                  <c:v>37.905156566913504</c:v>
                </c:pt>
                <c:pt idx="175">
                  <c:v>38.125318557865064</c:v>
                </c:pt>
                <c:pt idx="176">
                  <c:v>38.345434548922377</c:v>
                </c:pt>
                <c:pt idx="177">
                  <c:v>38.56550654008354</c:v>
                </c:pt>
                <c:pt idx="178">
                  <c:v>38.78553253134681</c:v>
                </c:pt>
                <c:pt idx="179">
                  <c:v>39.005514522710378</c:v>
                </c:pt>
                <c:pt idx="180">
                  <c:v>39.225453514172465</c:v>
                </c:pt>
                <c:pt idx="181">
                  <c:v>39.445350505731369</c:v>
                </c:pt>
                <c:pt idx="182">
                  <c:v>39.665204497385481</c:v>
                </c:pt>
                <c:pt idx="183">
                  <c:v>39.885017489133148</c:v>
                </c:pt>
                <c:pt idx="184">
                  <c:v>40.104789480972777</c:v>
                </c:pt>
                <c:pt idx="185">
                  <c:v>40.324522472902778</c:v>
                </c:pt>
                <c:pt idx="186">
                  <c:v>40.544215464921706</c:v>
                </c:pt>
                <c:pt idx="187">
                  <c:v>40.763869457028065</c:v>
                </c:pt>
                <c:pt idx="188">
                  <c:v>40.983485449220353</c:v>
                </c:pt>
                <c:pt idx="189">
                  <c:v>41.20306444149719</c:v>
                </c:pt>
                <c:pt idx="190">
                  <c:v>41.422605433857214</c:v>
                </c:pt>
                <c:pt idx="191">
                  <c:v>41.642111426298996</c:v>
                </c:pt>
                <c:pt idx="192">
                  <c:v>41.861580418821291</c:v>
                </c:pt>
                <c:pt idx="193">
                  <c:v>42.081015411422726</c:v>
                </c:pt>
                <c:pt idx="194">
                  <c:v>42.300413404102152</c:v>
                </c:pt>
                <c:pt idx="195">
                  <c:v>42.519778396858214</c:v>
                </c:pt>
                <c:pt idx="196">
                  <c:v>42.739110389689699</c:v>
                </c:pt>
                <c:pt idx="197">
                  <c:v>42.958407382595517</c:v>
                </c:pt>
                <c:pt idx="198">
                  <c:v>43.177673375574379</c:v>
                </c:pt>
                <c:pt idx="199">
                  <c:v>43.396906368625238</c:v>
                </c:pt>
                <c:pt idx="200">
                  <c:v>43.616107361746963</c:v>
                </c:pt>
                <c:pt idx="201">
                  <c:v>43.83527735493842</c:v>
                </c:pt>
                <c:pt idx="202">
                  <c:v>44.054416348198579</c:v>
                </c:pt>
                <c:pt idx="203">
                  <c:v>44.273524341526389</c:v>
                </c:pt>
                <c:pt idx="204">
                  <c:v>44.492603334920787</c:v>
                </c:pt>
                <c:pt idx="205">
                  <c:v>44.711652328380822</c:v>
                </c:pt>
                <c:pt idx="206">
                  <c:v>44.930672321905462</c:v>
                </c:pt>
                <c:pt idx="207">
                  <c:v>45.14966331549379</c:v>
                </c:pt>
                <c:pt idx="208">
                  <c:v>45.368626309144808</c:v>
                </c:pt>
                <c:pt idx="209">
                  <c:v>45.587560302857639</c:v>
                </c:pt>
                <c:pt idx="210">
                  <c:v>45.806468296631316</c:v>
                </c:pt>
                <c:pt idx="211">
                  <c:v>46.025348290464997</c:v>
                </c:pt>
                <c:pt idx="212">
                  <c:v>46.244201284357814</c:v>
                </c:pt>
                <c:pt idx="213">
                  <c:v>46.463028278308869</c:v>
                </c:pt>
                <c:pt idx="214">
                  <c:v>46.681828272317375</c:v>
                </c:pt>
                <c:pt idx="215">
                  <c:v>46.90060426638243</c:v>
                </c:pt>
                <c:pt idx="216">
                  <c:v>47.119353260503317</c:v>
                </c:pt>
                <c:pt idx="217">
                  <c:v>47.338079254679151</c:v>
                </c:pt>
                <c:pt idx="218">
                  <c:v>47.556778248909268</c:v>
                </c:pt>
                <c:pt idx="219">
                  <c:v>47.775454243192804</c:v>
                </c:pt>
                <c:pt idx="220">
                  <c:v>47.994106237529067</c:v>
                </c:pt>
                <c:pt idx="221">
                  <c:v>48.212734231917302</c:v>
                </c:pt>
                <c:pt idx="222">
                  <c:v>48.431338226356807</c:v>
                </c:pt>
                <c:pt idx="223">
                  <c:v>48.649920220846838</c:v>
                </c:pt>
                <c:pt idx="224">
                  <c:v>48.868479215386735</c:v>
                </c:pt>
                <c:pt idx="225">
                  <c:v>49.087016209975793</c:v>
                </c:pt>
                <c:pt idx="226">
                  <c:v>49.305529204613407</c:v>
                </c:pt>
                <c:pt idx="227">
                  <c:v>49.524022199298813</c:v>
                </c:pt>
                <c:pt idx="228">
                  <c:v>49.742492194031477</c:v>
                </c:pt>
                <c:pt idx="229">
                  <c:v>49.96094218881067</c:v>
                </c:pt>
                <c:pt idx="230">
                  <c:v>50.179369183635863</c:v>
                </c:pt>
                <c:pt idx="231">
                  <c:v>50.39777617850639</c:v>
                </c:pt>
                <c:pt idx="232">
                  <c:v>50.616164173421616</c:v>
                </c:pt>
                <c:pt idx="233">
                  <c:v>50.834530168381043</c:v>
                </c:pt>
                <c:pt idx="234">
                  <c:v>51.052877163384011</c:v>
                </c:pt>
                <c:pt idx="235">
                  <c:v>51.271203158430019</c:v>
                </c:pt>
                <c:pt idx="236">
                  <c:v>51.489511153730135</c:v>
                </c:pt>
                <c:pt idx="237">
                  <c:v>51.707798148859602</c:v>
                </c:pt>
                <c:pt idx="238">
                  <c:v>51.92606814403041</c:v>
                </c:pt>
                <c:pt idx="239">
                  <c:v>52.144317139242091</c:v>
                </c:pt>
                <c:pt idx="240">
                  <c:v>52.362549134494046</c:v>
                </c:pt>
                <c:pt idx="241">
                  <c:v>52.580762129785846</c:v>
                </c:pt>
                <c:pt idx="242">
                  <c:v>52.798957125116935</c:v>
                </c:pt>
                <c:pt idx="243">
                  <c:v>53.01713412048683</c:v>
                </c:pt>
                <c:pt idx="244">
                  <c:v>53.235294115895037</c:v>
                </c:pt>
                <c:pt idx="245">
                  <c:v>53.453435111341129</c:v>
                </c:pt>
              </c:numCache>
            </c:numRef>
          </c:yVal>
          <c:smooth val="1"/>
          <c:extLst>
            <c:ext xmlns:c16="http://schemas.microsoft.com/office/drawing/2014/chart" uri="{C3380CC4-5D6E-409C-BE32-E72D297353CC}">
              <c16:uniqueId val="{00000000-55CB-4F2E-A194-DD13C8F91AC5}"/>
            </c:ext>
          </c:extLst>
        </c:ser>
        <c:dLbls>
          <c:showLegendKey val="0"/>
          <c:showVal val="0"/>
          <c:showCatName val="0"/>
          <c:showSerName val="0"/>
          <c:showPercent val="0"/>
          <c:showBubbleSize val="0"/>
        </c:dLbls>
        <c:axId val="23132032"/>
        <c:axId val="23199744"/>
      </c:scatterChart>
      <c:valAx>
        <c:axId val="23132032"/>
        <c:scaling>
          <c:orientation val="minMax"/>
          <c:max val="50"/>
        </c:scaling>
        <c:delete val="0"/>
        <c:axPos val="b"/>
        <c:title>
          <c:tx>
            <c:rich>
              <a:bodyPr/>
              <a:lstStyle/>
              <a:p>
                <a:pPr>
                  <a:defRPr sz="1400" b="1">
                    <a:solidFill>
                      <a:srgbClr val="0E9ED9"/>
                    </a:solidFill>
                  </a:defRPr>
                </a:pPr>
                <a:r>
                  <a:rPr lang="en-US" sz="1400" b="1">
                    <a:solidFill>
                      <a:srgbClr val="0E9ED9"/>
                    </a:solidFill>
                  </a:rPr>
                  <a:t>Harmonic Number</a:t>
                </a:r>
                <a:r>
                  <a:rPr lang="en-US" sz="1400" b="1" baseline="0">
                    <a:solidFill>
                      <a:srgbClr val="0E9ED9"/>
                    </a:solidFill>
                  </a:rPr>
                  <a:t> (n)</a:t>
                </a:r>
                <a:endParaRPr lang="en-US" sz="1400" b="1">
                  <a:solidFill>
                    <a:srgbClr val="0E9ED9"/>
                  </a:solidFill>
                </a:endParaRPr>
              </a:p>
            </c:rich>
          </c:tx>
          <c:overlay val="0"/>
        </c:title>
        <c:numFmt formatCode="General" sourceLinked="1"/>
        <c:majorTickMark val="cross"/>
        <c:minorTickMark val="cross"/>
        <c:tickLblPos val="nextTo"/>
        <c:txPr>
          <a:bodyPr/>
          <a:lstStyle/>
          <a:p>
            <a:pPr>
              <a:defRPr b="1">
                <a:solidFill>
                  <a:srgbClr val="C00000"/>
                </a:solidFill>
              </a:defRPr>
            </a:pPr>
            <a:endParaRPr lang="en-US"/>
          </a:p>
        </c:txPr>
        <c:crossAx val="23199744"/>
        <c:crosses val="autoZero"/>
        <c:crossBetween val="midCat"/>
        <c:majorUnit val="5"/>
        <c:minorUnit val="1"/>
      </c:valAx>
      <c:valAx>
        <c:axId val="23199744"/>
        <c:scaling>
          <c:orientation val="minMax"/>
        </c:scaling>
        <c:delete val="0"/>
        <c:axPos val="l"/>
        <c:majorGridlines>
          <c:spPr>
            <a:ln>
              <a:solidFill>
                <a:srgbClr val="C00000"/>
              </a:solidFill>
            </a:ln>
          </c:spPr>
        </c:majorGridlines>
        <c:title>
          <c:tx>
            <c:rich>
              <a:bodyPr rot="-5400000" vert="horz"/>
              <a:lstStyle/>
              <a:p>
                <a:pPr>
                  <a:defRPr sz="1400" b="1">
                    <a:solidFill>
                      <a:srgbClr val="0E9ED9"/>
                    </a:solidFill>
                  </a:defRPr>
                </a:pPr>
                <a:r>
                  <a:rPr lang="en-US" sz="1400" b="1">
                    <a:solidFill>
                      <a:srgbClr val="0E9ED9"/>
                    </a:solidFill>
                  </a:rPr>
                  <a:t>Impedance (ohms)</a:t>
                </a:r>
              </a:p>
            </c:rich>
          </c:tx>
          <c:overlay val="0"/>
        </c:title>
        <c:numFmt formatCode="General" sourceLinked="1"/>
        <c:majorTickMark val="out"/>
        <c:minorTickMark val="none"/>
        <c:tickLblPos val="nextTo"/>
        <c:txPr>
          <a:bodyPr/>
          <a:lstStyle/>
          <a:p>
            <a:pPr>
              <a:defRPr b="1">
                <a:solidFill>
                  <a:srgbClr val="C00000"/>
                </a:solidFill>
              </a:defRPr>
            </a:pPr>
            <a:endParaRPr lang="en-US"/>
          </a:p>
        </c:txPr>
        <c:crossAx val="23132032"/>
        <c:crosses val="autoZero"/>
        <c:crossBetween val="midCat"/>
      </c:valAx>
      <c:spPr>
        <a:solidFill>
          <a:schemeClr val="bg1"/>
        </a:solidFill>
      </c:spPr>
    </c:plotArea>
    <c:plotVisOnly val="0"/>
    <c:dispBlanksAs val="gap"/>
    <c:showDLblsOverMax val="0"/>
  </c:chart>
  <c:spPr>
    <a:ln w="19050">
      <a:solidFill>
        <a:srgbClr val="C00000"/>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E9ED9"/>
                </a:solidFill>
                <a:latin typeface="+mn-lt"/>
                <a:ea typeface="+mn-ea"/>
                <a:cs typeface="+mn-cs"/>
              </a:defRPr>
            </a:pPr>
            <a:r>
              <a:rPr lang="en-US" b="1">
                <a:solidFill>
                  <a:srgbClr val="0E9ED9"/>
                </a:solidFill>
              </a:rPr>
              <a:t>Tuning</a:t>
            </a:r>
            <a:r>
              <a:rPr lang="en-US" b="1" baseline="0">
                <a:solidFill>
                  <a:srgbClr val="0E9ED9"/>
                </a:solidFill>
              </a:rPr>
              <a:t> Reactor </a:t>
            </a:r>
            <a:r>
              <a:rPr lang="en-US" b="1">
                <a:solidFill>
                  <a:srgbClr val="0E9ED9"/>
                </a:solidFill>
              </a:rPr>
              <a:t>Harmonic</a:t>
            </a:r>
            <a:r>
              <a:rPr lang="en-US" b="1" baseline="0">
                <a:solidFill>
                  <a:srgbClr val="0E9ED9"/>
                </a:solidFill>
              </a:rPr>
              <a:t> Current Comparison </a:t>
            </a:r>
            <a:endParaRPr lang="en-US" b="1">
              <a:solidFill>
                <a:srgbClr val="0E9ED9"/>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E9ED9"/>
              </a:solidFill>
              <a:latin typeface="+mn-lt"/>
              <a:ea typeface="+mn-ea"/>
              <a:cs typeface="+mn-cs"/>
            </a:defRPr>
          </a:pPr>
          <a:endParaRPr lang="en-US"/>
        </a:p>
      </c:txPr>
    </c:title>
    <c:autoTitleDeleted val="0"/>
    <c:plotArea>
      <c:layout/>
      <c:barChart>
        <c:barDir val="col"/>
        <c:grouping val="clustered"/>
        <c:varyColors val="0"/>
        <c:ser>
          <c:idx val="2"/>
          <c:order val="2"/>
          <c:tx>
            <c:strRef>
              <c:f>'HP Filter Design'!$CO$56</c:f>
              <c:strCache>
                <c:ptCount val="1"/>
                <c:pt idx="0">
                  <c:v>(In) Filter Current</c:v>
                </c:pt>
              </c:strCache>
            </c:strRef>
          </c:tx>
          <c:spPr>
            <a:solidFill>
              <a:srgbClr val="B8E7FA"/>
            </a:solidFill>
            <a:ln>
              <a:noFill/>
            </a:ln>
            <a:effectLst/>
          </c:spPr>
          <c:invertIfNegative val="0"/>
          <c:cat>
            <c:numRef>
              <c:extLst>
                <c:ext xmlns:c15="http://schemas.microsoft.com/office/drawing/2012/chart" uri="{02D57815-91ED-43cb-92C2-25804820EDAC}">
                  <c15:fullRef>
                    <c15:sqref>'HP Filter Design'!$CL$57:$CL$75</c15:sqref>
                  </c15:fullRef>
                </c:ext>
              </c:extLst>
              <c:f>'HP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'HP Filter Design'!$CO$57:$CO$75</c15:sqref>
                  </c15:fullRef>
                </c:ext>
              </c:extLst>
              <c:f>'HP Filter Design'!$CO$60:$CO$75</c:f>
              <c:numCache>
                <c:formatCode>General</c:formatCode>
                <c:ptCount val="16"/>
                <c:pt idx="0" formatCode="0">
                  <c:v>278.12414534767834</c:v>
                </c:pt>
                <c:pt idx="1" formatCode="0">
                  <c:v>0</c:v>
                </c:pt>
                <c:pt idx="2" formatCode="0">
                  <c:v>0</c:v>
                </c:pt>
                <c:pt idx="3" formatCode="0">
                  <c:v>0</c:v>
                </c:pt>
                <c:pt idx="4" formatCode="0">
                  <c:v>100</c:v>
                </c:pt>
                <c:pt idx="5" formatCode="0">
                  <c:v>80</c:v>
                </c:pt>
                <c:pt idx="6" formatCode="0">
                  <c:v>60</c:v>
                </c:pt>
                <c:pt idx="7" formatCode="0">
                  <c:v>30</c:v>
                </c:pt>
                <c:pt idx="8" formatCode="0">
                  <c:v>20</c:v>
                </c:pt>
                <c:pt idx="9" formatCode="0">
                  <c:v>10</c:v>
                </c:pt>
                <c:pt idx="10" formatCode="0">
                  <c:v>10</c:v>
                </c:pt>
                <c:pt idx="11" formatCode="0">
                  <c:v>10</c:v>
                </c:pt>
                <c:pt idx="12" formatCode="0">
                  <c:v>0</c:v>
                </c:pt>
                <c:pt idx="13" formatCode="0">
                  <c:v>0</c:v>
                </c:pt>
                <c:pt idx="14" formatCode="0">
                  <c:v>10</c:v>
                </c:pt>
                <c:pt idx="15" formatCode="0">
                  <c:v>10</c:v>
                </c:pt>
              </c:numCache>
            </c:numRef>
          </c:val>
          <c:extLst>
            <c:ext xmlns:c16="http://schemas.microsoft.com/office/drawing/2014/chart" uri="{C3380CC4-5D6E-409C-BE32-E72D297353CC}">
              <c16:uniqueId val="{00000000-24CA-478E-A531-5019D5E72012}"/>
            </c:ext>
          </c:extLst>
        </c:ser>
        <c:ser>
          <c:idx val="5"/>
          <c:order val="5"/>
          <c:tx>
            <c:strRef>
              <c:f>'HP Filter Design'!$CR$56</c:f>
              <c:strCache>
                <c:ptCount val="1"/>
                <c:pt idx="0">
                  <c:v>Calculated Reactor Current</c:v>
                </c:pt>
              </c:strCache>
            </c:strRef>
          </c:tx>
          <c:spPr>
            <a:solidFill>
              <a:srgbClr val="0E9ED9"/>
            </a:solidFill>
            <a:ln>
              <a:noFill/>
            </a:ln>
            <a:effectLst/>
          </c:spPr>
          <c:invertIfNegative val="0"/>
          <c:cat>
            <c:numRef>
              <c:extLst>
                <c:ext xmlns:c15="http://schemas.microsoft.com/office/drawing/2012/chart" uri="{02D57815-91ED-43cb-92C2-25804820EDAC}">
                  <c15:fullRef>
                    <c15:sqref>'HP Filter Design'!$CL$57:$CL$75</c15:sqref>
                  </c15:fullRef>
                </c:ext>
              </c:extLst>
              <c:f>'HP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'HP Filter Design'!$CR$57:$CR$75</c15:sqref>
                  </c15:fullRef>
                </c:ext>
              </c:extLst>
              <c:f>'HP Filter Design'!$CR$60:$CR$75</c:f>
              <c:numCache>
                <c:formatCode>General</c:formatCode>
                <c:ptCount val="16"/>
                <c:pt idx="0" formatCode="0">
                  <c:v>276.74386811630848</c:v>
                </c:pt>
                <c:pt idx="1" formatCode="0">
                  <c:v>0</c:v>
                </c:pt>
                <c:pt idx="2" formatCode="0">
                  <c:v>0</c:v>
                </c:pt>
                <c:pt idx="3" formatCode="0">
                  <c:v>0</c:v>
                </c:pt>
                <c:pt idx="4" formatCode="0">
                  <c:v>89.442719099991592</c:v>
                </c:pt>
                <c:pt idx="5" formatCode="0">
                  <c:v>65.538553641523222</c:v>
                </c:pt>
                <c:pt idx="6" formatCode="0">
                  <c:v>40.360367639778751</c:v>
                </c:pt>
                <c:pt idx="7" formatCode="0">
                  <c:v>18.291322825490774</c:v>
                </c:pt>
                <c:pt idx="8" formatCode="0">
                  <c:v>10.140402531267876</c:v>
                </c:pt>
                <c:pt idx="9" formatCode="0">
                  <c:v>4.6574643283262231</c:v>
                </c:pt>
                <c:pt idx="10" formatCode="0">
                  <c:v>3.9872611141445002</c:v>
                </c:pt>
                <c:pt idx="11" formatCode="0">
                  <c:v>3.7139067635410372</c:v>
                </c:pt>
                <c:pt idx="12" formatCode="0">
                  <c:v>0</c:v>
                </c:pt>
                <c:pt idx="13" formatCode="0">
                  <c:v>0</c:v>
                </c:pt>
                <c:pt idx="14" formatCode="0">
                  <c:v>2.7472112789737806</c:v>
                </c:pt>
                <c:pt idx="15" formatCode="0">
                  <c:v>2.6090902514277472</c:v>
                </c:pt>
              </c:numCache>
            </c:numRef>
          </c:val>
          <c:extLst>
            <c:ext xmlns:c16="http://schemas.microsoft.com/office/drawing/2014/chart" uri="{C3380CC4-5D6E-409C-BE32-E72D297353CC}">
              <c16:uniqueId val="{00000001-24CA-478E-A531-5019D5E72012}"/>
            </c:ext>
          </c:extLst>
        </c:ser>
        <c:ser>
          <c:idx val="9"/>
          <c:order val="9"/>
          <c:tx>
            <c:strRef>
              <c:f>'HP Filter Design'!$CV$56</c:f>
              <c:strCache>
                <c:ptCount val="1"/>
                <c:pt idx="0">
                  <c:v>VarStec Reactor Rating</c:v>
                </c:pt>
              </c:strCache>
            </c:strRef>
          </c:tx>
          <c:spPr>
            <a:solidFill>
              <a:srgbClr val="FF0066"/>
            </a:solidFill>
            <a:ln>
              <a:noFill/>
            </a:ln>
            <a:effectLst/>
          </c:spPr>
          <c:invertIfNegative val="0"/>
          <c:cat>
            <c:numRef>
              <c:extLst>
                <c:ext xmlns:c15="http://schemas.microsoft.com/office/drawing/2012/chart" uri="{02D57815-91ED-43cb-92C2-25804820EDAC}">
                  <c15:fullRef>
                    <c15:sqref>'HP Filter Design'!$CL$57:$CL$75</c15:sqref>
                  </c15:fullRef>
                </c:ext>
              </c:extLst>
              <c:f>'HP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'HP Filter Design'!$CV$57:$CV$75</c15:sqref>
                  </c15:fullRef>
                </c:ext>
              </c:extLst>
              <c:f>'HP Filter Design'!$CV$60:$CV$75</c:f>
              <c:numCache>
                <c:formatCode>General</c:formatCode>
                <c:ptCount val="16"/>
                <c:pt idx="0" formatCode="0">
                  <c:v>415.11580217446271</c:v>
                </c:pt>
                <c:pt idx="1" formatCode="0">
                  <c:v>0</c:v>
                </c:pt>
                <c:pt idx="2" formatCode="0">
                  <c:v>0</c:v>
                </c:pt>
                <c:pt idx="3" formatCode="0">
                  <c:v>0</c:v>
                </c:pt>
                <c:pt idx="4" formatCode="0">
                  <c:v>134.1640786499874</c:v>
                </c:pt>
                <c:pt idx="5" formatCode="0">
                  <c:v>98.307830462284841</c:v>
                </c:pt>
                <c:pt idx="6" formatCode="0">
                  <c:v>60.540551459668123</c:v>
                </c:pt>
                <c:pt idx="7" formatCode="0">
                  <c:v>27.43698423823616</c:v>
                </c:pt>
                <c:pt idx="8" formatCode="0">
                  <c:v>15.210603796901815</c:v>
                </c:pt>
                <c:pt idx="9" formatCode="0">
                  <c:v>6.9861964924893343</c:v>
                </c:pt>
                <c:pt idx="10" formatCode="0">
                  <c:v>5.9808916712167504</c:v>
                </c:pt>
                <c:pt idx="11" formatCode="0">
                  <c:v>5.5708601453115563</c:v>
                </c:pt>
                <c:pt idx="12" formatCode="0">
                  <c:v>0</c:v>
                </c:pt>
                <c:pt idx="13" formatCode="0">
                  <c:v>0</c:v>
                </c:pt>
                <c:pt idx="14" formatCode="0">
                  <c:v>4.1208169184606707</c:v>
                </c:pt>
                <c:pt idx="15" formatCode="0">
                  <c:v>3.9136353771416208</c:v>
                </c:pt>
              </c:numCache>
            </c:numRef>
          </c:val>
          <c:extLst>
            <c:ext xmlns:c16="http://schemas.microsoft.com/office/drawing/2014/chart" uri="{C3380CC4-5D6E-409C-BE32-E72D297353CC}">
              <c16:uniqueId val="{00000002-24CA-478E-A531-5019D5E72012}"/>
            </c:ext>
          </c:extLst>
        </c:ser>
        <c:dLbls>
          <c:showLegendKey val="0"/>
          <c:showVal val="0"/>
          <c:showCatName val="0"/>
          <c:showSerName val="0"/>
          <c:showPercent val="0"/>
          <c:showBubbleSize val="0"/>
        </c:dLbls>
        <c:gapWidth val="219"/>
        <c:overlap val="-27"/>
        <c:axId val="320270991"/>
        <c:axId val="320271951"/>
        <c:extLst>
          <c:ext xmlns:c15="http://schemas.microsoft.com/office/drawing/2012/chart" uri="{02D57815-91ED-43cb-92C2-25804820EDAC}">
            <c15:filteredBarSeries>
              <c15:ser>
                <c:idx val="0"/>
                <c:order val="0"/>
                <c:tx>
                  <c:strRef>
                    <c:extLst>
                      <c:ext uri="{02D57815-91ED-43cb-92C2-25804820EDAC}">
                        <c15:formulaRef>
                          <c15:sqref>'C-HP Filter Design'!$CM$56</c15:sqref>
                        </c15:formulaRef>
                      </c:ext>
                    </c:extLst>
                    <c:strCache>
                      <c:ptCount val="1"/>
                    </c:strCache>
                  </c:strRef>
                </c:tx>
                <c:spPr>
                  <a:solidFill>
                    <a:schemeClr val="accent1"/>
                  </a:solidFill>
                  <a:ln>
                    <a:noFill/>
                  </a:ln>
                  <a:effectLst/>
                </c:spPr>
                <c:invertIfNegative val="0"/>
                <c:cat>
                  <c:numRef>
                    <c:extLst>
                      <c:ex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uri="{02D57815-91ED-43cb-92C2-25804820EDAC}">
                        <c15:fullRef>
                          <c15:sqref>'C-HP Filter Design'!$CM$57:$CM$75</c15:sqref>
                        </c15:fullRef>
                        <c15:formulaRef>
                          <c15:sqref>'C-HP Filter Design'!$CM$60:$CM$75</c15:sqref>
                        </c15:formulaRef>
                      </c:ext>
                    </c:extLst>
                    <c:numCache>
                      <c:formatCode>General</c:formatCode>
                      <c:ptCount val="16"/>
                    </c:numCache>
                  </c:numRef>
                </c:val>
                <c:extLst>
                  <c:ext xmlns:c16="http://schemas.microsoft.com/office/drawing/2014/chart" uri="{C3380CC4-5D6E-409C-BE32-E72D297353CC}">
                    <c16:uniqueId val="{00000003-24CA-478E-A531-5019D5E7201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'C-HP Filter Design'!$CN$56</c15:sqref>
                        </c15:formulaRef>
                      </c:ext>
                    </c:extLst>
                    <c:strCache>
                      <c:ptCount val="1"/>
                    </c:strCache>
                  </c:strRef>
                </c:tx>
                <c:spPr>
                  <a:solidFill>
                    <a:schemeClr val="accent2"/>
                  </a:solidFill>
                  <a:ln>
                    <a:noFill/>
                  </a:ln>
                  <a:effectLst/>
                </c:spPr>
                <c:invertIfNegative val="0"/>
                <c:cat>
                  <c:numRef>
                    <c:extLst>
                      <c:ext xmlns:c15="http://schemas.microsoft.com/office/drawing/2012/char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Design'!$CN$57:$CN$75</c15:sqref>
                        </c15:fullRef>
                        <c15:formulaRef>
                          <c15:sqref>'C-HP Filter Design'!$CN$60:$CN$75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4-24CA-478E-A531-5019D5E72012}"/>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'C-HP Filter Design'!$CP$56</c15:sqref>
                        </c15:formulaRef>
                      </c:ext>
                    </c:extLst>
                    <c:strCache>
                      <c:ptCount val="1"/>
                    </c:strCache>
                  </c:strRef>
                </c:tx>
                <c:spPr>
                  <a:solidFill>
                    <a:schemeClr val="accent4"/>
                  </a:solidFill>
                  <a:ln>
                    <a:noFill/>
                  </a:ln>
                  <a:effectLst/>
                </c:spPr>
                <c:invertIfNegative val="0"/>
                <c:cat>
                  <c:numRef>
                    <c:extLst>
                      <c:ext xmlns:c15="http://schemas.microsoft.com/office/drawing/2012/char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Design'!$CP$57:$CP$75</c15:sqref>
                        </c15:fullRef>
                        <c15:formulaRef>
                          <c15:sqref>'C-HP Filter Design'!$CP$60:$CP$75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5-24CA-478E-A531-5019D5E72012}"/>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'C-HP Filter Design'!$CQ$56</c15:sqref>
                        </c15:formulaRef>
                      </c:ext>
                    </c:extLst>
                    <c:strCache>
                      <c:ptCount val="1"/>
                    </c:strCache>
                  </c:strRef>
                </c:tx>
                <c:spPr>
                  <a:solidFill>
                    <a:schemeClr val="accent5"/>
                  </a:solidFill>
                  <a:ln>
                    <a:noFill/>
                  </a:ln>
                  <a:effectLst/>
                </c:spPr>
                <c:invertIfNegative val="0"/>
                <c:cat>
                  <c:numRef>
                    <c:extLst>
                      <c:ext xmlns:c15="http://schemas.microsoft.com/office/drawing/2012/char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Design'!$CQ$57:$CQ$75</c15:sqref>
                        </c15:fullRef>
                        <c15:formulaRef>
                          <c15:sqref>'C-HP Filter Design'!$CQ$60:$CQ$75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6-24CA-478E-A531-5019D5E72012}"/>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'C-HP Filter Design'!$CS$56</c15:sqref>
                        </c15:formulaRef>
                      </c:ext>
                    </c:extLst>
                    <c:strCache>
                      <c:ptCount val="1"/>
                    </c:strCache>
                  </c:strRef>
                </c:tx>
                <c:spPr>
                  <a:solidFill>
                    <a:schemeClr val="accent1">
                      <a:lumMod val="60000"/>
                    </a:schemeClr>
                  </a:solidFill>
                  <a:ln>
                    <a:noFill/>
                  </a:ln>
                  <a:effectLst/>
                </c:spPr>
                <c:invertIfNegative val="0"/>
                <c:cat>
                  <c:numRef>
                    <c:extLst>
                      <c:ext xmlns:c15="http://schemas.microsoft.com/office/drawing/2012/char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Design'!$CS$57:$CS$75</c15:sqref>
                        </c15:fullRef>
                        <c15:formulaRef>
                          <c15:sqref>'C-HP Filter Design'!$CS$60:$CS$75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7-24CA-478E-A531-5019D5E72012}"/>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'C-HP Filter Design'!$CT$56</c15:sqref>
                        </c15:formulaRef>
                      </c:ext>
                    </c:extLst>
                    <c:strCache>
                      <c:ptCount val="1"/>
                    </c:strCache>
                  </c:strRef>
                </c:tx>
                <c:spPr>
                  <a:solidFill>
                    <a:schemeClr val="accent2">
                      <a:lumMod val="60000"/>
                    </a:schemeClr>
                  </a:solidFill>
                  <a:ln>
                    <a:noFill/>
                  </a:ln>
                  <a:effectLst/>
                </c:spPr>
                <c:invertIfNegative val="0"/>
                <c:cat>
                  <c:numRef>
                    <c:extLst>
                      <c:ext xmlns:c15="http://schemas.microsoft.com/office/drawing/2012/char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Design'!$CT$57:$CT$75</c15:sqref>
                        </c15:fullRef>
                        <c15:formulaRef>
                          <c15:sqref>'C-HP Filter Design'!$CT$60:$CT$75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8-24CA-478E-A531-5019D5E72012}"/>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'C-HP Filter Design'!$CU$56</c15:sqref>
                        </c15:formulaRef>
                      </c:ext>
                    </c:extLst>
                    <c:strCache>
                      <c:ptCount val="1"/>
                    </c:strCache>
                  </c:strRef>
                </c:tx>
                <c:spPr>
                  <a:solidFill>
                    <a:schemeClr val="accent3">
                      <a:lumMod val="60000"/>
                    </a:schemeClr>
                  </a:solidFill>
                  <a:ln>
                    <a:noFill/>
                  </a:ln>
                  <a:effectLst/>
                </c:spPr>
                <c:invertIfNegative val="0"/>
                <c:cat>
                  <c:numRef>
                    <c:extLst>
                      <c:ext xmlns:c15="http://schemas.microsoft.com/office/drawing/2012/char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Design'!$CU$57:$CU$75</c15:sqref>
                        </c15:fullRef>
                        <c15:formulaRef>
                          <c15:sqref>'C-HP Filter Design'!$CU$60:$CU$75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9-24CA-478E-A531-5019D5E72012}"/>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'C-HP Filter Design'!$CW$56</c15:sqref>
                        </c15:formulaRef>
                      </c:ext>
                    </c:extLst>
                    <c:strCache>
                      <c:ptCount val="1"/>
                    </c:strCache>
                  </c:strRef>
                </c:tx>
                <c:spPr>
                  <a:solidFill>
                    <a:schemeClr val="accent5">
                      <a:lumMod val="60000"/>
                    </a:schemeClr>
                  </a:solidFill>
                  <a:ln>
                    <a:noFill/>
                  </a:ln>
                  <a:effectLst/>
                </c:spPr>
                <c:invertIfNegative val="0"/>
                <c:cat>
                  <c:numRef>
                    <c:extLst>
                      <c:ext xmlns:c15="http://schemas.microsoft.com/office/drawing/2012/char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Design'!$CW$57:$CW$75</c15:sqref>
                        </c15:fullRef>
                        <c15:formulaRef>
                          <c15:sqref>'C-HP Filter Design'!$CW$60:$CW$75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A-24CA-478E-A531-5019D5E72012}"/>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'C-HP Filter Design'!$CX$56</c15:sqref>
                        </c15:formulaRef>
                      </c:ext>
                    </c:extLst>
                    <c:strCache>
                      <c:ptCount val="1"/>
                    </c:strCache>
                  </c:strRef>
                </c:tx>
                <c:spPr>
                  <a:solidFill>
                    <a:schemeClr val="accent6">
                      <a:lumMod val="60000"/>
                    </a:schemeClr>
                  </a:solidFill>
                  <a:ln>
                    <a:noFill/>
                  </a:ln>
                  <a:effectLst/>
                </c:spPr>
                <c:invertIfNegative val="0"/>
                <c:cat>
                  <c:numRef>
                    <c:extLst>
                      <c:ext xmlns:c15="http://schemas.microsoft.com/office/drawing/2012/chart" uri="{02D57815-91ED-43cb-92C2-25804820EDAC}">
                        <c15:fullRef>
                          <c15:sqref>'HP Filter Design'!$CL$57:$CL$75</c15:sqref>
                        </c15:fullRef>
                        <c15:formulaRef>
                          <c15:sqref>'HP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Design'!$CX$57:$CX$75</c15:sqref>
                        </c15:fullRef>
                        <c15:formulaRef>
                          <c15:sqref>'C-HP Filter Design'!$CX$60:$CX$75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B-24CA-478E-A531-5019D5E72012}"/>
                  </c:ext>
                </c:extLst>
              </c15:ser>
            </c15:filteredBarSeries>
          </c:ext>
        </c:extLst>
      </c:barChart>
      <c:catAx>
        <c:axId val="320270991"/>
        <c:scaling>
          <c:orientation val="minMax"/>
        </c:scaling>
        <c:delete val="0"/>
        <c:axPos val="b"/>
        <c:title>
          <c:tx>
            <c:rich>
              <a:bodyPr rot="0" spcFirstLastPara="1" vertOverflow="ellipsis" vert="horz" wrap="square" anchor="ctr" anchorCtr="1"/>
              <a:lstStyle/>
              <a:p>
                <a:pPr>
                  <a:defRPr sz="1400" b="0" i="0" u="none" strike="noStrike" kern="1200" baseline="0">
                    <a:solidFill>
                      <a:srgbClr val="0E9ED9"/>
                    </a:solidFill>
                    <a:latin typeface="+mn-lt"/>
                    <a:ea typeface="+mn-ea"/>
                    <a:cs typeface="+mn-cs"/>
                  </a:defRPr>
                </a:pPr>
                <a:r>
                  <a:rPr lang="en-US" sz="1400">
                    <a:solidFill>
                      <a:srgbClr val="0E9ED9"/>
                    </a:solidFill>
                  </a:rPr>
                  <a:t>Harmonic Number (n)</a:t>
                </a:r>
              </a:p>
            </c:rich>
          </c:tx>
          <c:overlay val="0"/>
          <c:spPr>
            <a:noFill/>
            <a:ln>
              <a:noFill/>
            </a:ln>
            <a:effectLst/>
          </c:spPr>
          <c:txPr>
            <a:bodyPr rot="0" spcFirstLastPara="1" vertOverflow="ellipsis" vert="horz" wrap="square" anchor="ctr" anchorCtr="1"/>
            <a:lstStyle/>
            <a:p>
              <a:pPr>
                <a:defRPr sz="1400" b="0" i="0" u="none" strike="noStrike" kern="1200" baseline="0">
                  <a:solidFill>
                    <a:srgbClr val="0E9ED9"/>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C00000"/>
                </a:solidFill>
                <a:latin typeface="+mn-lt"/>
                <a:ea typeface="+mn-ea"/>
                <a:cs typeface="+mn-cs"/>
              </a:defRPr>
            </a:pPr>
            <a:endParaRPr lang="en-US"/>
          </a:p>
        </c:txPr>
        <c:crossAx val="320271951"/>
        <c:crosses val="autoZero"/>
        <c:auto val="1"/>
        <c:lblAlgn val="ctr"/>
        <c:lblOffset val="100"/>
        <c:noMultiLvlLbl val="0"/>
      </c:catAx>
      <c:valAx>
        <c:axId val="320271951"/>
        <c:scaling>
          <c:orientation val="minMax"/>
        </c:scaling>
        <c:delete val="0"/>
        <c:axPos val="l"/>
        <c:majorGridlines>
          <c:spPr>
            <a:ln w="9525" cap="flat" cmpd="sng" algn="ctr">
              <a:solidFill>
                <a:srgbClr val="C00000"/>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solidFill>
                      <a:srgbClr val="0E9ED9"/>
                    </a:solidFill>
                  </a:rPr>
                  <a:t>amps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rgbClr val="C00000"/>
                </a:solidFill>
                <a:latin typeface="+mn-lt"/>
                <a:ea typeface="+mn-ea"/>
                <a:cs typeface="+mn-cs"/>
              </a:defRPr>
            </a:pPr>
            <a:endParaRPr lang="en-US"/>
          </a:p>
        </c:txPr>
        <c:crossAx val="320270991"/>
        <c:crosses val="autoZero"/>
        <c:crossBetween val="between"/>
      </c:valAx>
      <c:spPr>
        <a:noFill/>
        <a:ln>
          <a:solidFill>
            <a:srgbClr val="C00000"/>
          </a:solid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19050" cap="flat" cmpd="sng" algn="ctr">
      <a:solidFill>
        <a:srgbClr val="C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solidFill>
                  <a:srgbClr val="0E9ED9"/>
                </a:solidFill>
              </a:rPr>
              <a:t>Harmonic Filter Impedance</a:t>
            </a:r>
            <a:r>
              <a:rPr lang="en-US" sz="1400"/>
              <a:t> </a:t>
            </a:r>
          </a:p>
        </c:rich>
      </c:tx>
      <c:layout>
        <c:manualLayout>
          <c:xMode val="edge"/>
          <c:yMode val="edge"/>
          <c:x val="0.36735511161280626"/>
          <c:y val="2.3219116210638668E-2"/>
        </c:manualLayout>
      </c:layout>
      <c:overlay val="0"/>
    </c:title>
    <c:autoTitleDeleted val="0"/>
    <c:plotArea>
      <c:layout>
        <c:manualLayout>
          <c:layoutTarget val="inner"/>
          <c:xMode val="edge"/>
          <c:yMode val="edge"/>
          <c:x val="8.6266185476815402E-2"/>
          <c:y val="0.12872623936785796"/>
          <c:w val="0.85488298501358573"/>
          <c:h val="0.71265472482428827"/>
        </c:manualLayout>
      </c:layout>
      <c:scatterChart>
        <c:scatterStyle val="smoothMarker"/>
        <c:varyColors val="0"/>
        <c:ser>
          <c:idx val="0"/>
          <c:order val="0"/>
          <c:spPr>
            <a:ln>
              <a:solidFill>
                <a:srgbClr val="C00000"/>
              </a:solidFill>
            </a:ln>
          </c:spPr>
          <c:marker>
            <c:symbol val="none"/>
          </c:marker>
          <c:xVal>
            <c:numRef>
              <c:f>'HP Filter Design'!$FN$5:$FN$250</c:f>
              <c:numCache>
                <c:formatCode>General</c:formatCode>
                <c:ptCount val="246"/>
                <c:pt idx="0">
                  <c:v>1</c:v>
                </c:pt>
                <c:pt idx="1">
                  <c:v>1.2</c:v>
                </c:pt>
                <c:pt idx="2">
                  <c:v>1.4</c:v>
                </c:pt>
                <c:pt idx="3">
                  <c:v>1.6</c:v>
                </c:pt>
                <c:pt idx="4">
                  <c:v>1.8</c:v>
                </c:pt>
                <c:pt idx="5">
                  <c:v>2</c:v>
                </c:pt>
                <c:pt idx="6">
                  <c:v>2.2000000000000002</c:v>
                </c:pt>
                <c:pt idx="7">
                  <c:v>2.4</c:v>
                </c:pt>
                <c:pt idx="8">
                  <c:v>2.6</c:v>
                </c:pt>
                <c:pt idx="9">
                  <c:v>2.8</c:v>
                </c:pt>
                <c:pt idx="10">
                  <c:v>3</c:v>
                </c:pt>
                <c:pt idx="11">
                  <c:v>3.2</c:v>
                </c:pt>
                <c:pt idx="12">
                  <c:v>3.4</c:v>
                </c:pt>
                <c:pt idx="13">
                  <c:v>3.6</c:v>
                </c:pt>
                <c:pt idx="14">
                  <c:v>3.8</c:v>
                </c:pt>
                <c:pt idx="15">
                  <c:v>4</c:v>
                </c:pt>
                <c:pt idx="16">
                  <c:v>4.2</c:v>
                </c:pt>
                <c:pt idx="17">
                  <c:v>4.4000000000000004</c:v>
                </c:pt>
                <c:pt idx="18">
                  <c:v>4.5999999999999996</c:v>
                </c:pt>
                <c:pt idx="19">
                  <c:v>4.8</c:v>
                </c:pt>
                <c:pt idx="20">
                  <c:v>5</c:v>
                </c:pt>
                <c:pt idx="21">
                  <c:v>5.2</c:v>
                </c:pt>
                <c:pt idx="22">
                  <c:v>5.4</c:v>
                </c:pt>
                <c:pt idx="23">
                  <c:v>5.6</c:v>
                </c:pt>
                <c:pt idx="24">
                  <c:v>5.8</c:v>
                </c:pt>
                <c:pt idx="25">
                  <c:v>6</c:v>
                </c:pt>
                <c:pt idx="26">
                  <c:v>6.2</c:v>
                </c:pt>
                <c:pt idx="27">
                  <c:v>6.4</c:v>
                </c:pt>
                <c:pt idx="28">
                  <c:v>6.6</c:v>
                </c:pt>
                <c:pt idx="29">
                  <c:v>6.8</c:v>
                </c:pt>
                <c:pt idx="30">
                  <c:v>7</c:v>
                </c:pt>
                <c:pt idx="31">
                  <c:v>7.2</c:v>
                </c:pt>
                <c:pt idx="32">
                  <c:v>7.4</c:v>
                </c:pt>
                <c:pt idx="33">
                  <c:v>7.6</c:v>
                </c:pt>
                <c:pt idx="34">
                  <c:v>7.8</c:v>
                </c:pt>
                <c:pt idx="35">
                  <c:v>8</c:v>
                </c:pt>
                <c:pt idx="36">
                  <c:v>8.1999999999999993</c:v>
                </c:pt>
                <c:pt idx="37">
                  <c:v>8.4</c:v>
                </c:pt>
                <c:pt idx="38">
                  <c:v>8.6</c:v>
                </c:pt>
                <c:pt idx="39">
                  <c:v>8.8000000000000007</c:v>
                </c:pt>
                <c:pt idx="40">
                  <c:v>9</c:v>
                </c:pt>
                <c:pt idx="41">
                  <c:v>9.1999999999999993</c:v>
                </c:pt>
                <c:pt idx="42">
                  <c:v>9.4</c:v>
                </c:pt>
                <c:pt idx="43">
                  <c:v>9.6</c:v>
                </c:pt>
                <c:pt idx="44">
                  <c:v>9.8000000000000007</c:v>
                </c:pt>
                <c:pt idx="45">
                  <c:v>10</c:v>
                </c:pt>
                <c:pt idx="46">
                  <c:v>10.199999999999999</c:v>
                </c:pt>
                <c:pt idx="47">
                  <c:v>10.4</c:v>
                </c:pt>
                <c:pt idx="48">
                  <c:v>10.6</c:v>
                </c:pt>
                <c:pt idx="49">
                  <c:v>10.8</c:v>
                </c:pt>
                <c:pt idx="50">
                  <c:v>11</c:v>
                </c:pt>
                <c:pt idx="51">
                  <c:v>11.2</c:v>
                </c:pt>
                <c:pt idx="52">
                  <c:v>11.4</c:v>
                </c:pt>
                <c:pt idx="53">
                  <c:v>11.6</c:v>
                </c:pt>
                <c:pt idx="54">
                  <c:v>11.8</c:v>
                </c:pt>
                <c:pt idx="55">
                  <c:v>12</c:v>
                </c:pt>
                <c:pt idx="56">
                  <c:v>12.2</c:v>
                </c:pt>
                <c:pt idx="57">
                  <c:v>12.4</c:v>
                </c:pt>
                <c:pt idx="58">
                  <c:v>12.6</c:v>
                </c:pt>
                <c:pt idx="59">
                  <c:v>12.8</c:v>
                </c:pt>
                <c:pt idx="60">
                  <c:v>13</c:v>
                </c:pt>
                <c:pt idx="61">
                  <c:v>13.2</c:v>
                </c:pt>
                <c:pt idx="62">
                  <c:v>13.4</c:v>
                </c:pt>
                <c:pt idx="63">
                  <c:v>13.6</c:v>
                </c:pt>
                <c:pt idx="64">
                  <c:v>13.8</c:v>
                </c:pt>
                <c:pt idx="65">
                  <c:v>14</c:v>
                </c:pt>
                <c:pt idx="66">
                  <c:v>14.2</c:v>
                </c:pt>
                <c:pt idx="67">
                  <c:v>14.4</c:v>
                </c:pt>
                <c:pt idx="68">
                  <c:v>14.6</c:v>
                </c:pt>
                <c:pt idx="69">
                  <c:v>14.8</c:v>
                </c:pt>
                <c:pt idx="70">
                  <c:v>15</c:v>
                </c:pt>
                <c:pt idx="71">
                  <c:v>15.2</c:v>
                </c:pt>
                <c:pt idx="72">
                  <c:v>15.4</c:v>
                </c:pt>
                <c:pt idx="73">
                  <c:v>15.6</c:v>
                </c:pt>
                <c:pt idx="74">
                  <c:v>15.8</c:v>
                </c:pt>
                <c:pt idx="75">
                  <c:v>16</c:v>
                </c:pt>
                <c:pt idx="76">
                  <c:v>16.2</c:v>
                </c:pt>
                <c:pt idx="77">
                  <c:v>16.399999999999999</c:v>
                </c:pt>
                <c:pt idx="78">
                  <c:v>16.600000000000001</c:v>
                </c:pt>
                <c:pt idx="79">
                  <c:v>16.8</c:v>
                </c:pt>
                <c:pt idx="80">
                  <c:v>17</c:v>
                </c:pt>
                <c:pt idx="81">
                  <c:v>17.2</c:v>
                </c:pt>
                <c:pt idx="82">
                  <c:v>17.399999999999999</c:v>
                </c:pt>
                <c:pt idx="83">
                  <c:v>17.600000000000001</c:v>
                </c:pt>
                <c:pt idx="84">
                  <c:v>17.8</c:v>
                </c:pt>
                <c:pt idx="85">
                  <c:v>18</c:v>
                </c:pt>
                <c:pt idx="86">
                  <c:v>18.2</c:v>
                </c:pt>
                <c:pt idx="87">
                  <c:v>18.399999999999999</c:v>
                </c:pt>
                <c:pt idx="88">
                  <c:v>18.600000000000001</c:v>
                </c:pt>
                <c:pt idx="89">
                  <c:v>18.8</c:v>
                </c:pt>
                <c:pt idx="90">
                  <c:v>19</c:v>
                </c:pt>
                <c:pt idx="91">
                  <c:v>19.2</c:v>
                </c:pt>
                <c:pt idx="92">
                  <c:v>19.399999999999999</c:v>
                </c:pt>
                <c:pt idx="93">
                  <c:v>19.600000000000001</c:v>
                </c:pt>
                <c:pt idx="94">
                  <c:v>19.8</c:v>
                </c:pt>
                <c:pt idx="95">
                  <c:v>20</c:v>
                </c:pt>
                <c:pt idx="96">
                  <c:v>20.2</c:v>
                </c:pt>
                <c:pt idx="97">
                  <c:v>20.399999999999999</c:v>
                </c:pt>
                <c:pt idx="98">
                  <c:v>20.6</c:v>
                </c:pt>
                <c:pt idx="99">
                  <c:v>20.8</c:v>
                </c:pt>
                <c:pt idx="100">
                  <c:v>21</c:v>
                </c:pt>
                <c:pt idx="101">
                  <c:v>21.2</c:v>
                </c:pt>
                <c:pt idx="102">
                  <c:v>21.4</c:v>
                </c:pt>
                <c:pt idx="103">
                  <c:v>21.6</c:v>
                </c:pt>
                <c:pt idx="104">
                  <c:v>21.8</c:v>
                </c:pt>
                <c:pt idx="105">
                  <c:v>22</c:v>
                </c:pt>
                <c:pt idx="106">
                  <c:v>22.2</c:v>
                </c:pt>
                <c:pt idx="107">
                  <c:v>22.4</c:v>
                </c:pt>
                <c:pt idx="108">
                  <c:v>22.6</c:v>
                </c:pt>
                <c:pt idx="109">
                  <c:v>22.8</c:v>
                </c:pt>
                <c:pt idx="110">
                  <c:v>23</c:v>
                </c:pt>
                <c:pt idx="111">
                  <c:v>23.2</c:v>
                </c:pt>
                <c:pt idx="112">
                  <c:v>23.4</c:v>
                </c:pt>
                <c:pt idx="113">
                  <c:v>23.6</c:v>
                </c:pt>
                <c:pt idx="114">
                  <c:v>23.8</c:v>
                </c:pt>
                <c:pt idx="115">
                  <c:v>24</c:v>
                </c:pt>
                <c:pt idx="116">
                  <c:v>24.2</c:v>
                </c:pt>
                <c:pt idx="117">
                  <c:v>24.4</c:v>
                </c:pt>
                <c:pt idx="118">
                  <c:v>24.6</c:v>
                </c:pt>
                <c:pt idx="119">
                  <c:v>24.8</c:v>
                </c:pt>
                <c:pt idx="120">
                  <c:v>25</c:v>
                </c:pt>
                <c:pt idx="121">
                  <c:v>25.2</c:v>
                </c:pt>
                <c:pt idx="122">
                  <c:v>25.4</c:v>
                </c:pt>
                <c:pt idx="123">
                  <c:v>25.6</c:v>
                </c:pt>
                <c:pt idx="124">
                  <c:v>25.8</c:v>
                </c:pt>
                <c:pt idx="125">
                  <c:v>26</c:v>
                </c:pt>
                <c:pt idx="126">
                  <c:v>26.2</c:v>
                </c:pt>
                <c:pt idx="127">
                  <c:v>26.4</c:v>
                </c:pt>
                <c:pt idx="128">
                  <c:v>26.6</c:v>
                </c:pt>
                <c:pt idx="129">
                  <c:v>26.8</c:v>
                </c:pt>
                <c:pt idx="130">
                  <c:v>27</c:v>
                </c:pt>
                <c:pt idx="131">
                  <c:v>27.2</c:v>
                </c:pt>
                <c:pt idx="132">
                  <c:v>27.4</c:v>
                </c:pt>
                <c:pt idx="133">
                  <c:v>27.6</c:v>
                </c:pt>
                <c:pt idx="134">
                  <c:v>27.8</c:v>
                </c:pt>
                <c:pt idx="135">
                  <c:v>28</c:v>
                </c:pt>
                <c:pt idx="136">
                  <c:v>28.2</c:v>
                </c:pt>
                <c:pt idx="137">
                  <c:v>28.4</c:v>
                </c:pt>
                <c:pt idx="138">
                  <c:v>28.6</c:v>
                </c:pt>
                <c:pt idx="139">
                  <c:v>28.8</c:v>
                </c:pt>
                <c:pt idx="140">
                  <c:v>29</c:v>
                </c:pt>
                <c:pt idx="141">
                  <c:v>29.2</c:v>
                </c:pt>
                <c:pt idx="142">
                  <c:v>29.4</c:v>
                </c:pt>
                <c:pt idx="143">
                  <c:v>29.6</c:v>
                </c:pt>
                <c:pt idx="144">
                  <c:v>29.8</c:v>
                </c:pt>
                <c:pt idx="145">
                  <c:v>30</c:v>
                </c:pt>
                <c:pt idx="146">
                  <c:v>30.2</c:v>
                </c:pt>
                <c:pt idx="147">
                  <c:v>30.4</c:v>
                </c:pt>
                <c:pt idx="148">
                  <c:v>30.6</c:v>
                </c:pt>
                <c:pt idx="149">
                  <c:v>30.8</c:v>
                </c:pt>
                <c:pt idx="150">
                  <c:v>31</c:v>
                </c:pt>
                <c:pt idx="151">
                  <c:v>31.2</c:v>
                </c:pt>
                <c:pt idx="152">
                  <c:v>31.4</c:v>
                </c:pt>
                <c:pt idx="153">
                  <c:v>31.6</c:v>
                </c:pt>
                <c:pt idx="154">
                  <c:v>31.8</c:v>
                </c:pt>
                <c:pt idx="155">
                  <c:v>32</c:v>
                </c:pt>
                <c:pt idx="156">
                  <c:v>32.200000000000003</c:v>
                </c:pt>
                <c:pt idx="157">
                  <c:v>32.4</c:v>
                </c:pt>
                <c:pt idx="158">
                  <c:v>32.6</c:v>
                </c:pt>
                <c:pt idx="159">
                  <c:v>32.799999999999997</c:v>
                </c:pt>
                <c:pt idx="160">
                  <c:v>33</c:v>
                </c:pt>
                <c:pt idx="161">
                  <c:v>33.200000000000003</c:v>
                </c:pt>
                <c:pt idx="162">
                  <c:v>33.4</c:v>
                </c:pt>
                <c:pt idx="163">
                  <c:v>33.6</c:v>
                </c:pt>
                <c:pt idx="164">
                  <c:v>33.799999999999997</c:v>
                </c:pt>
                <c:pt idx="165">
                  <c:v>34</c:v>
                </c:pt>
                <c:pt idx="166">
                  <c:v>34.200000000000003</c:v>
                </c:pt>
                <c:pt idx="167">
                  <c:v>34.4</c:v>
                </c:pt>
                <c:pt idx="168">
                  <c:v>34.6</c:v>
                </c:pt>
                <c:pt idx="169">
                  <c:v>34.799999999999997</c:v>
                </c:pt>
                <c:pt idx="170">
                  <c:v>35</c:v>
                </c:pt>
                <c:pt idx="171">
                  <c:v>35.200000000000003</c:v>
                </c:pt>
                <c:pt idx="172">
                  <c:v>35.4</c:v>
                </c:pt>
                <c:pt idx="173">
                  <c:v>35.6</c:v>
                </c:pt>
                <c:pt idx="174">
                  <c:v>35.799999999999997</c:v>
                </c:pt>
                <c:pt idx="175">
                  <c:v>36</c:v>
                </c:pt>
                <c:pt idx="176">
                  <c:v>36.200000000000003</c:v>
                </c:pt>
                <c:pt idx="177">
                  <c:v>36.4</c:v>
                </c:pt>
                <c:pt idx="178">
                  <c:v>36.6</c:v>
                </c:pt>
                <c:pt idx="179">
                  <c:v>36.799999999999997</c:v>
                </c:pt>
                <c:pt idx="180">
                  <c:v>37</c:v>
                </c:pt>
                <c:pt idx="181">
                  <c:v>37.200000000000003</c:v>
                </c:pt>
                <c:pt idx="182">
                  <c:v>37.4</c:v>
                </c:pt>
                <c:pt idx="183">
                  <c:v>37.6</c:v>
                </c:pt>
                <c:pt idx="184">
                  <c:v>37.799999999999997</c:v>
                </c:pt>
                <c:pt idx="185">
                  <c:v>38</c:v>
                </c:pt>
                <c:pt idx="186">
                  <c:v>38.200000000000003</c:v>
                </c:pt>
                <c:pt idx="187">
                  <c:v>38.4</c:v>
                </c:pt>
                <c:pt idx="188">
                  <c:v>38.6</c:v>
                </c:pt>
                <c:pt idx="189">
                  <c:v>38.799999999999997</c:v>
                </c:pt>
                <c:pt idx="190">
                  <c:v>39</c:v>
                </c:pt>
                <c:pt idx="191">
                  <c:v>39.200000000000003</c:v>
                </c:pt>
                <c:pt idx="192">
                  <c:v>39.4</c:v>
                </c:pt>
                <c:pt idx="193">
                  <c:v>39.6</c:v>
                </c:pt>
                <c:pt idx="194">
                  <c:v>39.799999999999997</c:v>
                </c:pt>
                <c:pt idx="195">
                  <c:v>40</c:v>
                </c:pt>
                <c:pt idx="196">
                  <c:v>40.200000000000003</c:v>
                </c:pt>
                <c:pt idx="197">
                  <c:v>40.4</c:v>
                </c:pt>
                <c:pt idx="198">
                  <c:v>40.6</c:v>
                </c:pt>
                <c:pt idx="199">
                  <c:v>40.799999999999997</c:v>
                </c:pt>
                <c:pt idx="200">
                  <c:v>41</c:v>
                </c:pt>
                <c:pt idx="201">
                  <c:v>41.2</c:v>
                </c:pt>
                <c:pt idx="202">
                  <c:v>41.4</c:v>
                </c:pt>
                <c:pt idx="203">
                  <c:v>41.6</c:v>
                </c:pt>
                <c:pt idx="204">
                  <c:v>41.8</c:v>
                </c:pt>
                <c:pt idx="205">
                  <c:v>42</c:v>
                </c:pt>
                <c:pt idx="206">
                  <c:v>42.2</c:v>
                </c:pt>
                <c:pt idx="207">
                  <c:v>42.4</c:v>
                </c:pt>
                <c:pt idx="208">
                  <c:v>42.6</c:v>
                </c:pt>
                <c:pt idx="209">
                  <c:v>42.8</c:v>
                </c:pt>
                <c:pt idx="210">
                  <c:v>43</c:v>
                </c:pt>
                <c:pt idx="211">
                  <c:v>43.2</c:v>
                </c:pt>
                <c:pt idx="212">
                  <c:v>43.4</c:v>
                </c:pt>
                <c:pt idx="213">
                  <c:v>43.6</c:v>
                </c:pt>
                <c:pt idx="214">
                  <c:v>43.8</c:v>
                </c:pt>
                <c:pt idx="215">
                  <c:v>44</c:v>
                </c:pt>
                <c:pt idx="216">
                  <c:v>44.2</c:v>
                </c:pt>
                <c:pt idx="217">
                  <c:v>44.4</c:v>
                </c:pt>
                <c:pt idx="218">
                  <c:v>44.6</c:v>
                </c:pt>
                <c:pt idx="219">
                  <c:v>44.8</c:v>
                </c:pt>
                <c:pt idx="220">
                  <c:v>45</c:v>
                </c:pt>
                <c:pt idx="221">
                  <c:v>45.2</c:v>
                </c:pt>
                <c:pt idx="222">
                  <c:v>45.4</c:v>
                </c:pt>
                <c:pt idx="223">
                  <c:v>45.6</c:v>
                </c:pt>
                <c:pt idx="224">
                  <c:v>45.8</c:v>
                </c:pt>
                <c:pt idx="225">
                  <c:v>46</c:v>
                </c:pt>
                <c:pt idx="226">
                  <c:v>46.2</c:v>
                </c:pt>
                <c:pt idx="227">
                  <c:v>46.4</c:v>
                </c:pt>
                <c:pt idx="228">
                  <c:v>46.6</c:v>
                </c:pt>
                <c:pt idx="229">
                  <c:v>46.8</c:v>
                </c:pt>
                <c:pt idx="230">
                  <c:v>47</c:v>
                </c:pt>
                <c:pt idx="231">
                  <c:v>47.2</c:v>
                </c:pt>
                <c:pt idx="232">
                  <c:v>47.4</c:v>
                </c:pt>
                <c:pt idx="233">
                  <c:v>47.6</c:v>
                </c:pt>
                <c:pt idx="234">
                  <c:v>47.8</c:v>
                </c:pt>
                <c:pt idx="235">
                  <c:v>48</c:v>
                </c:pt>
                <c:pt idx="236">
                  <c:v>48.2</c:v>
                </c:pt>
                <c:pt idx="237">
                  <c:v>48.4</c:v>
                </c:pt>
                <c:pt idx="238">
                  <c:v>48.6</c:v>
                </c:pt>
                <c:pt idx="239">
                  <c:v>48.8</c:v>
                </c:pt>
                <c:pt idx="240">
                  <c:v>49</c:v>
                </c:pt>
                <c:pt idx="241">
                  <c:v>49.2</c:v>
                </c:pt>
                <c:pt idx="242">
                  <c:v>49.4</c:v>
                </c:pt>
                <c:pt idx="243">
                  <c:v>49.6</c:v>
                </c:pt>
                <c:pt idx="244">
                  <c:v>49.8</c:v>
                </c:pt>
                <c:pt idx="245">
                  <c:v>50</c:v>
                </c:pt>
              </c:numCache>
            </c:numRef>
          </c:xVal>
          <c:yVal>
            <c:numRef>
              <c:f>'HP Filter Design'!$FO$5:$FO$250</c:f>
              <c:numCache>
                <c:formatCode>General</c:formatCode>
                <c:ptCount val="246"/>
                <c:pt idx="0">
                  <c:v>25.92989016514619</c:v>
                </c:pt>
                <c:pt idx="1">
                  <c:v>21.22293955552324</c:v>
                </c:pt>
                <c:pt idx="2">
                  <c:v>17.804832905531043</c:v>
                </c:pt>
                <c:pt idx="3">
                  <c:v>15.194123514465092</c:v>
                </c:pt>
                <c:pt idx="4">
                  <c:v>13.12367974076006</c:v>
                </c:pt>
                <c:pt idx="5">
                  <c:v>11.433566956217382</c:v>
                </c:pt>
                <c:pt idx="6">
                  <c:v>10.022389928467012</c:v>
                </c:pt>
                <c:pt idx="7">
                  <c:v>8.8229614187537404</c:v>
                </c:pt>
                <c:pt idx="8">
                  <c:v>7.7892514145432488</c:v>
                </c:pt>
                <c:pt idx="9">
                  <c:v>6.8889389204463116</c:v>
                </c:pt>
                <c:pt idx="10">
                  <c:v>6.0990048663476237</c:v>
                </c:pt>
                <c:pt idx="11">
                  <c:v>5.4030135384314919</c:v>
                </c:pt>
                <c:pt idx="12">
                  <c:v>4.7894254617555125</c:v>
                </c:pt>
                <c:pt idx="13">
                  <c:v>4.2505195985568633</c:v>
                </c:pt>
                <c:pt idx="14">
                  <c:v>3.7817100595017861</c:v>
                </c:pt>
                <c:pt idx="15">
                  <c:v>3.381036842385631</c:v>
                </c:pt>
                <c:pt idx="16">
                  <c:v>3.0486469671856073</c:v>
                </c:pt>
                <c:pt idx="17">
                  <c:v>2.7860093366939744</c:v>
                </c:pt>
                <c:pt idx="18">
                  <c:v>2.5946661218615392</c:v>
                </c:pt>
                <c:pt idx="19">
                  <c:v>2.474556910581367</c:v>
                </c:pt>
                <c:pt idx="20">
                  <c:v>2.422462924193062</c:v>
                </c:pt>
                <c:pt idx="21">
                  <c:v>2.4314285528727759</c:v>
                </c:pt>
                <c:pt idx="22">
                  <c:v>2.4916243774842952</c:v>
                </c:pt>
                <c:pt idx="23">
                  <c:v>2.592097653591392</c:v>
                </c:pt>
                <c:pt idx="24">
                  <c:v>2.7224589996664781</c:v>
                </c:pt>
                <c:pt idx="25">
                  <c:v>2.8738599221326009</c:v>
                </c:pt>
                <c:pt idx="26">
                  <c:v>3.0392886951411837</c:v>
                </c:pt>
                <c:pt idx="27">
                  <c:v>3.2134296992129769</c:v>
                </c:pt>
                <c:pt idx="28">
                  <c:v>3.3923646863463839</c:v>
                </c:pt>
                <c:pt idx="29">
                  <c:v>3.573250726116207</c:v>
                </c:pt>
                <c:pt idx="30">
                  <c:v>3.7540461273635146</c:v>
                </c:pt>
                <c:pt idx="31">
                  <c:v>3.9332978447516531</c:v>
                </c:pt>
                <c:pt idx="32">
                  <c:v>4.1099799221924433</c:v>
                </c:pt>
                <c:pt idx="33">
                  <c:v>4.2833787047166396</c:v>
                </c:pt>
                <c:pt idx="34">
                  <c:v>4.4530057384604849</c:v>
                </c:pt>
                <c:pt idx="35">
                  <c:v>4.6185368760355265</c:v>
                </c:pt>
                <c:pt idx="36">
                  <c:v>4.7797717765853633</c:v>
                </c:pt>
                <c:pt idx="37">
                  <c:v>4.9365978532877275</c:v>
                </c:pt>
                <c:pt idx="38">
                  <c:v>5.0889673243399791</c:v>
                </c:pt>
                <c:pt idx="39">
                  <c:v>5.2368806349845327</c:v>
                </c:pt>
                <c:pt idx="40">
                  <c:v>5.3803737064631489</c:v>
                </c:pt>
                <c:pt idx="41">
                  <c:v>5.5195108053428976</c:v>
                </c:pt>
                <c:pt idx="42">
                  <c:v>5.6543695696567271</c:v>
                </c:pt>
                <c:pt idx="43">
                  <c:v>5.7850479738207881</c:v>
                </c:pt>
                <c:pt idx="44">
                  <c:v>5.911646733895811</c:v>
                </c:pt>
                <c:pt idx="45">
                  <c:v>6.0342782486461459</c:v>
                </c:pt>
                <c:pt idx="46">
                  <c:v>6.1530534564986521</c:v>
                </c:pt>
                <c:pt idx="47">
                  <c:v>6.268089430962835</c:v>
                </c:pt>
                <c:pt idx="48">
                  <c:v>6.3795026387122844</c:v>
                </c:pt>
                <c:pt idx="49">
                  <c:v>6.487407477272412</c:v>
                </c:pt>
                <c:pt idx="50">
                  <c:v>6.5919212918863801</c:v>
                </c:pt>
                <c:pt idx="51">
                  <c:v>6.6931544441922153</c:v>
                </c:pt>
                <c:pt idx="52">
                  <c:v>6.7912192426880162</c:v>
                </c:pt>
                <c:pt idx="53">
                  <c:v>6.8862242865961028</c:v>
                </c:pt>
                <c:pt idx="54">
                  <c:v>6.9782738317844766</c:v>
                </c:pt>
                <c:pt idx="55">
                  <c:v>7.0674702419833366</c:v>
                </c:pt>
                <c:pt idx="56">
                  <c:v>7.1539148779119532</c:v>
                </c:pt>
                <c:pt idx="57">
                  <c:v>7.2377021461505997</c:v>
                </c:pt>
                <c:pt idx="58">
                  <c:v>7.3189267494588313</c:v>
                </c:pt>
                <c:pt idx="59">
                  <c:v>7.3976776448334771</c:v>
                </c:pt>
                <c:pt idx="60">
                  <c:v>7.474043276484422</c:v>
                </c:pt>
                <c:pt idx="61">
                  <c:v>7.5481067941295708</c:v>
                </c:pt>
                <c:pt idx="62">
                  <c:v>7.619949557842034</c:v>
                </c:pt>
                <c:pt idx="63">
                  <c:v>7.6896499245622358</c:v>
                </c:pt>
                <c:pt idx="64">
                  <c:v>7.7572822783792654</c:v>
                </c:pt>
                <c:pt idx="65">
                  <c:v>7.8229204018914826</c:v>
                </c:pt>
                <c:pt idx="66">
                  <c:v>7.8866344532354864</c:v>
                </c:pt>
                <c:pt idx="67">
                  <c:v>7.9484903323152496</c:v>
                </c:pt>
                <c:pt idx="68">
                  <c:v>8.008553252140489</c:v>
                </c:pt>
                <c:pt idx="69">
                  <c:v>8.0668865073882134</c:v>
                </c:pt>
                <c:pt idx="70">
                  <c:v>8.1235486978955809</c:v>
                </c:pt>
                <c:pt idx="71">
                  <c:v>8.1785978287035253</c:v>
                </c:pt>
                <c:pt idx="72">
                  <c:v>8.2320905663580373</c:v>
                </c:pt>
                <c:pt idx="73">
                  <c:v>8.2840775717918635</c:v>
                </c:pt>
                <c:pt idx="74">
                  <c:v>8.3346136059791647</c:v>
                </c:pt>
                <c:pt idx="75">
                  <c:v>8.3837454151421493</c:v>
                </c:pt>
                <c:pt idx="76">
                  <c:v>8.4315222273952397</c:v>
                </c:pt>
                <c:pt idx="77">
                  <c:v>8.4779885266533004</c:v>
                </c:pt>
                <c:pt idx="78">
                  <c:v>8.5231890877875056</c:v>
                </c:pt>
                <c:pt idx="79">
                  <c:v>8.5671651248239638</c:v>
                </c:pt>
                <c:pt idx="80">
                  <c:v>8.6099593220197033</c:v>
                </c:pt>
                <c:pt idx="81">
                  <c:v>8.6516090008414626</c:v>
                </c:pt>
                <c:pt idx="82">
                  <c:v>8.6921520348682346</c:v>
                </c:pt>
                <c:pt idx="83">
                  <c:v>8.7316262046219659</c:v>
                </c:pt>
                <c:pt idx="84">
                  <c:v>8.7700641340254766</c:v>
                </c:pt>
                <c:pt idx="85">
                  <c:v>8.8075026450231046</c:v>
                </c:pt>
                <c:pt idx="86">
                  <c:v>8.8439708469199516</c:v>
                </c:pt>
                <c:pt idx="87">
                  <c:v>8.8795008107114342</c:v>
                </c:pt>
                <c:pt idx="88">
                  <c:v>8.9141236860683613</c:v>
                </c:pt>
                <c:pt idx="89">
                  <c:v>8.9478675358806026</c:v>
                </c:pt>
                <c:pt idx="90">
                  <c:v>8.9807607082944259</c:v>
                </c:pt>
                <c:pt idx="91">
                  <c:v>9.0128289340500061</c:v>
                </c:pt>
                <c:pt idx="92">
                  <c:v>9.0440981709135606</c:v>
                </c:pt>
                <c:pt idx="93">
                  <c:v>9.0745943918703063</c:v>
                </c:pt>
                <c:pt idx="94">
                  <c:v>9.104340596963187</c:v>
                </c:pt>
                <c:pt idx="95">
                  <c:v>9.1333607505855134</c:v>
                </c:pt>
                <c:pt idx="96">
                  <c:v>9.1616758943479883</c:v>
                </c:pt>
                <c:pt idx="97">
                  <c:v>9.1893090027514042</c:v>
                </c:pt>
                <c:pt idx="98">
                  <c:v>9.216280148229707</c:v>
                </c:pt>
                <c:pt idx="99">
                  <c:v>9.2426081418374544</c:v>
                </c:pt>
                <c:pt idx="100">
                  <c:v>9.268313995917163</c:v>
                </c:pt>
                <c:pt idx="101">
                  <c:v>9.2934158768307036</c:v>
                </c:pt>
                <c:pt idx="102">
                  <c:v>9.317931018871624</c:v>
                </c:pt>
                <c:pt idx="103">
                  <c:v>9.341877596512651</c:v>
                </c:pt>
                <c:pt idx="104">
                  <c:v>9.3652712622369894</c:v>
                </c:pt>
                <c:pt idx="105">
                  <c:v>9.3881283221179395</c:v>
                </c:pt>
                <c:pt idx="106">
                  <c:v>9.4104660490020891</c:v>
                </c:pt>
                <c:pt idx="107">
                  <c:v>9.4322966592541491</c:v>
                </c:pt>
                <c:pt idx="108">
                  <c:v>9.4536371530923997</c:v>
                </c:pt>
                <c:pt idx="109">
                  <c:v>9.4745010217237304</c:v>
                </c:pt>
                <c:pt idx="110">
                  <c:v>9.4949005882891164</c:v>
                </c:pt>
                <c:pt idx="111">
                  <c:v>9.5148503251128442</c:v>
                </c:pt>
                <c:pt idx="112">
                  <c:v>9.5343613495375763</c:v>
                </c:pt>
                <c:pt idx="113">
                  <c:v>9.5534475884606707</c:v>
                </c:pt>
                <c:pt idx="114">
                  <c:v>9.5721207815541067</c:v>
                </c:pt>
                <c:pt idx="115">
                  <c:v>9.5903902018034692</c:v>
                </c:pt>
                <c:pt idx="116">
                  <c:v>9.6082691500199466</c:v>
                </c:pt>
                <c:pt idx="117">
                  <c:v>9.6257676150783933</c:v>
                </c:pt>
                <c:pt idx="118">
                  <c:v>9.6428961733622316</c:v>
                </c:pt>
                <c:pt idx="119">
                  <c:v>9.659664182917437</c:v>
                </c:pt>
                <c:pt idx="120">
                  <c:v>9.676082259246094</c:v>
                </c:pt>
                <c:pt idx="121">
                  <c:v>9.6921582951376219</c:v>
                </c:pt>
                <c:pt idx="122">
                  <c:v>9.7079032203830717</c:v>
                </c:pt>
                <c:pt idx="123">
                  <c:v>9.7233245462447151</c:v>
                </c:pt>
                <c:pt idx="124">
                  <c:v>9.7384309285997404</c:v>
                </c:pt>
                <c:pt idx="125">
                  <c:v>9.7532308908536045</c:v>
                </c:pt>
                <c:pt idx="126">
                  <c:v>9.7677329717213279</c:v>
                </c:pt>
                <c:pt idx="127">
                  <c:v>9.7819432718333115</c:v>
                </c:pt>
                <c:pt idx="128">
                  <c:v>9.7958713316730019</c:v>
                </c:pt>
                <c:pt idx="129">
                  <c:v>9.8095230349036324</c:v>
                </c:pt>
                <c:pt idx="130">
                  <c:v>9.8229048062676441</c:v>
                </c:pt>
                <c:pt idx="131">
                  <c:v>9.8360250196925083</c:v>
                </c:pt>
                <c:pt idx="132">
                  <c:v>9.8488896260409486</c:v>
                </c:pt>
                <c:pt idx="133">
                  <c:v>9.8615051055348033</c:v>
                </c:pt>
                <c:pt idx="134">
                  <c:v>9.8738777018077837</c:v>
                </c:pt>
                <c:pt idx="135">
                  <c:v>9.8860129571881998</c:v>
                </c:pt>
                <c:pt idx="136">
                  <c:v>9.8979176222792447</c:v>
                </c:pt>
                <c:pt idx="137">
                  <c:v>9.9095972763780882</c:v>
                </c:pt>
                <c:pt idx="138">
                  <c:v>9.9210558070266384</c:v>
                </c:pt>
                <c:pt idx="139">
                  <c:v>9.9323007651210915</c:v>
                </c:pt>
                <c:pt idx="140">
                  <c:v>9.943335590260693</c:v>
                </c:pt>
                <c:pt idx="141">
                  <c:v>9.9541664065589135</c:v>
                </c:pt>
                <c:pt idx="142">
                  <c:v>9.9647981497249098</c:v>
                </c:pt>
                <c:pt idx="143">
                  <c:v>9.9752347840058881</c:v>
                </c:pt>
                <c:pt idx="144">
                  <c:v>9.9854810396275848</c:v>
                </c:pt>
                <c:pt idx="145">
                  <c:v>9.9955426120291229</c:v>
                </c:pt>
                <c:pt idx="146">
                  <c:v>10.005422327567436</c:v>
                </c:pt>
                <c:pt idx="147">
                  <c:v>10.015124936137841</c:v>
                </c:pt>
                <c:pt idx="148">
                  <c:v>10.024654502399422</c:v>
                </c:pt>
                <c:pt idx="149">
                  <c:v>10.034015568760196</c:v>
                </c:pt>
                <c:pt idx="150">
                  <c:v>10.043211485889611</c:v>
                </c:pt>
                <c:pt idx="151">
                  <c:v>10.052245391497811</c:v>
                </c:pt>
                <c:pt idx="152">
                  <c:v>10.06112261483111</c:v>
                </c:pt>
                <c:pt idx="153">
                  <c:v>10.06984504829712</c:v>
                </c:pt>
                <c:pt idx="154">
                  <c:v>10.078417150008875</c:v>
                </c:pt>
                <c:pt idx="155">
                  <c:v>10.086842033985912</c:v>
                </c:pt>
                <c:pt idx="156">
                  <c:v>10.095123881366984</c:v>
                </c:pt>
                <c:pt idx="157">
                  <c:v>10.103263963124837</c:v>
                </c:pt>
                <c:pt idx="158">
                  <c:v>10.111265950912033</c:v>
                </c:pt>
                <c:pt idx="159">
                  <c:v>10.119133849734618</c:v>
                </c:pt>
                <c:pt idx="160">
                  <c:v>10.126870807954894</c:v>
                </c:pt>
                <c:pt idx="161">
                  <c:v>10.134478471272214</c:v>
                </c:pt>
                <c:pt idx="162">
                  <c:v>10.141959576918159</c:v>
                </c:pt>
                <c:pt idx="163">
                  <c:v>10.149317631812348</c:v>
                </c:pt>
                <c:pt idx="164">
                  <c:v>10.15655538529481</c:v>
                </c:pt>
                <c:pt idx="165">
                  <c:v>10.163674752704161</c:v>
                </c:pt>
                <c:pt idx="166">
                  <c:v>10.170679273854821</c:v>
                </c:pt>
                <c:pt idx="167">
                  <c:v>10.177569976922488</c:v>
                </c:pt>
                <c:pt idx="168">
                  <c:v>10.184349791856178</c:v>
                </c:pt>
                <c:pt idx="169">
                  <c:v>10.191021511631744</c:v>
                </c:pt>
                <c:pt idx="170">
                  <c:v>10.197586545156506</c:v>
                </c:pt>
                <c:pt idx="171">
                  <c:v>10.204048473155005</c:v>
                </c:pt>
                <c:pt idx="172">
                  <c:v>10.210407744014583</c:v>
                </c:pt>
                <c:pt idx="173">
                  <c:v>10.21666677453684</c:v>
                </c:pt>
                <c:pt idx="174">
                  <c:v>10.222829571761677</c:v>
                </c:pt>
                <c:pt idx="175">
                  <c:v>10.228896207331513</c:v>
                </c:pt>
                <c:pt idx="176">
                  <c:v>10.234868343576725</c:v>
                </c:pt>
                <c:pt idx="177">
                  <c:v>10.240748825476828</c:v>
                </c:pt>
                <c:pt idx="178">
                  <c:v>10.246540108236777</c:v>
                </c:pt>
                <c:pt idx="179">
                  <c:v>10.252242305352182</c:v>
                </c:pt>
                <c:pt idx="180">
                  <c:v>10.257857691070784</c:v>
                </c:pt>
                <c:pt idx="181">
                  <c:v>10.263389530141202</c:v>
                </c:pt>
                <c:pt idx="182">
                  <c:v>10.268837367781222</c:v>
                </c:pt>
                <c:pt idx="183">
                  <c:v>10.274203891939509</c:v>
                </c:pt>
                <c:pt idx="184">
                  <c:v>10.279490814055187</c:v>
                </c:pt>
                <c:pt idx="185">
                  <c:v>10.284698678752722</c:v>
                </c:pt>
                <c:pt idx="186">
                  <c:v>10.289830190518453</c:v>
                </c:pt>
                <c:pt idx="187">
                  <c:v>10.29488651399485</c:v>
                </c:pt>
                <c:pt idx="188">
                  <c:v>10.299869152474949</c:v>
                </c:pt>
                <c:pt idx="189">
                  <c:v>10.304779095183992</c:v>
                </c:pt>
                <c:pt idx="190">
                  <c:v>10.30961729087443</c:v>
                </c:pt>
                <c:pt idx="191">
                  <c:v>10.314386285882694</c:v>
                </c:pt>
                <c:pt idx="192">
                  <c:v>10.3190866682377</c:v>
                </c:pt>
                <c:pt idx="193">
                  <c:v>10.323720380165378</c:v>
                </c:pt>
                <c:pt idx="194">
                  <c:v>10.328287836445353</c:v>
                </c:pt>
                <c:pt idx="195">
                  <c:v>10.332790986758273</c:v>
                </c:pt>
                <c:pt idx="196">
                  <c:v>10.337230257952319</c:v>
                </c:pt>
                <c:pt idx="197">
                  <c:v>10.341607249039775</c:v>
                </c:pt>
                <c:pt idx="198">
                  <c:v>10.345923115816442</c:v>
                </c:pt>
                <c:pt idx="199">
                  <c:v>10.350179285215113</c:v>
                </c:pt>
                <c:pt idx="200">
                  <c:v>10.354376385969607</c:v>
                </c:pt>
                <c:pt idx="201">
                  <c:v>10.358515403850689</c:v>
                </c:pt>
                <c:pt idx="202">
                  <c:v>10.362597783811982</c:v>
                </c:pt>
                <c:pt idx="203">
                  <c:v>10.366624517642856</c:v>
                </c:pt>
                <c:pt idx="204">
                  <c:v>10.370596076342959</c:v>
                </c:pt>
                <c:pt idx="205">
                  <c:v>10.374513457060285</c:v>
                </c:pt>
                <c:pt idx="206">
                  <c:v>10.378378125835896</c:v>
                </c:pt>
                <c:pt idx="207">
                  <c:v>10.382192070622706</c:v>
                </c:pt>
                <c:pt idx="208">
                  <c:v>10.385953982226813</c:v>
                </c:pt>
                <c:pt idx="209">
                  <c:v>10.389665342521146</c:v>
                </c:pt>
                <c:pt idx="210">
                  <c:v>10.393328317070186</c:v>
                </c:pt>
                <c:pt idx="211">
                  <c:v>10.396942592248648</c:v>
                </c:pt>
                <c:pt idx="212">
                  <c:v>10.400508844715242</c:v>
                </c:pt>
                <c:pt idx="213">
                  <c:v>10.404028741951263</c:v>
                </c:pt>
                <c:pt idx="214">
                  <c:v>10.407503136416773</c:v>
                </c:pt>
                <c:pt idx="215">
                  <c:v>10.410931896109636</c:v>
                </c:pt>
                <c:pt idx="216">
                  <c:v>10.414316698573796</c:v>
                </c:pt>
                <c:pt idx="217">
                  <c:v>10.417657581002363</c:v>
                </c:pt>
                <c:pt idx="218">
                  <c:v>10.42095491317883</c:v>
                </c:pt>
                <c:pt idx="219">
                  <c:v>10.424210711287163</c:v>
                </c:pt>
                <c:pt idx="220">
                  <c:v>10.427425017171259</c:v>
                </c:pt>
                <c:pt idx="221">
                  <c:v>10.430599200678166</c:v>
                </c:pt>
                <c:pt idx="222">
                  <c:v>10.433732322243129</c:v>
                </c:pt>
                <c:pt idx="223">
                  <c:v>10.4368270694016</c:v>
                </c:pt>
                <c:pt idx="224">
                  <c:v>10.439882503826995</c:v>
                </c:pt>
                <c:pt idx="225">
                  <c:v>10.442899184604101</c:v>
                </c:pt>
                <c:pt idx="226">
                  <c:v>10.445878822744643</c:v>
                </c:pt>
                <c:pt idx="227">
                  <c:v>10.448821472797494</c:v>
                </c:pt>
                <c:pt idx="228">
                  <c:v>10.451728018862191</c:v>
                </c:pt>
                <c:pt idx="229">
                  <c:v>10.45459919051993</c:v>
                </c:pt>
                <c:pt idx="230">
                  <c:v>10.457434578078363</c:v>
                </c:pt>
                <c:pt idx="231">
                  <c:v>10.46023652684895</c:v>
                </c:pt>
                <c:pt idx="232">
                  <c:v>10.463003488048736</c:v>
                </c:pt>
                <c:pt idx="233">
                  <c:v>10.465737498888696</c:v>
                </c:pt>
                <c:pt idx="234">
                  <c:v>10.468438160831633</c:v>
                </c:pt>
                <c:pt idx="235">
                  <c:v>10.471106525938174</c:v>
                </c:pt>
                <c:pt idx="236">
                  <c:v>10.473742353395608</c:v>
                </c:pt>
                <c:pt idx="237">
                  <c:v>10.476347533635661</c:v>
                </c:pt>
                <c:pt idx="238">
                  <c:v>10.478921981330906</c:v>
                </c:pt>
                <c:pt idx="239">
                  <c:v>10.481465312259207</c:v>
                </c:pt>
                <c:pt idx="240">
                  <c:v>10.483979722167771</c:v>
                </c:pt>
                <c:pt idx="241">
                  <c:v>10.486463842251544</c:v>
                </c:pt>
                <c:pt idx="242">
                  <c:v>10.488919571777876</c:v>
                </c:pt>
                <c:pt idx="243">
                  <c:v>10.491345844199493</c:v>
                </c:pt>
                <c:pt idx="244">
                  <c:v>10.493744560725691</c:v>
                </c:pt>
                <c:pt idx="245">
                  <c:v>10.496115352642091</c:v>
                </c:pt>
              </c:numCache>
            </c:numRef>
          </c:yVal>
          <c:smooth val="1"/>
          <c:extLst>
            <c:ext xmlns:c16="http://schemas.microsoft.com/office/drawing/2014/chart" uri="{C3380CC4-5D6E-409C-BE32-E72D297353CC}">
              <c16:uniqueId val="{00000000-7004-4976-870A-21848A8F97AA}"/>
            </c:ext>
          </c:extLst>
        </c:ser>
        <c:dLbls>
          <c:showLegendKey val="0"/>
          <c:showVal val="0"/>
          <c:showCatName val="0"/>
          <c:showSerName val="0"/>
          <c:showPercent val="0"/>
          <c:showBubbleSize val="0"/>
        </c:dLbls>
        <c:axId val="23132032"/>
        <c:axId val="23199744"/>
      </c:scatterChart>
      <c:valAx>
        <c:axId val="23132032"/>
        <c:scaling>
          <c:orientation val="minMax"/>
          <c:max val="50"/>
        </c:scaling>
        <c:delete val="0"/>
        <c:axPos val="b"/>
        <c:title>
          <c:tx>
            <c:rich>
              <a:bodyPr/>
              <a:lstStyle/>
              <a:p>
                <a:pPr>
                  <a:defRPr sz="1400" b="1">
                    <a:solidFill>
                      <a:srgbClr val="0E9ED9"/>
                    </a:solidFill>
                  </a:defRPr>
                </a:pPr>
                <a:r>
                  <a:rPr lang="en-US" sz="1400" b="1">
                    <a:solidFill>
                      <a:srgbClr val="0E9ED9"/>
                    </a:solidFill>
                  </a:rPr>
                  <a:t>Harmonic Number</a:t>
                </a:r>
                <a:r>
                  <a:rPr lang="en-US" sz="1400" b="1" baseline="0">
                    <a:solidFill>
                      <a:srgbClr val="0E9ED9"/>
                    </a:solidFill>
                  </a:rPr>
                  <a:t> (n)</a:t>
                </a:r>
                <a:endParaRPr lang="en-US" sz="1400" b="1">
                  <a:solidFill>
                    <a:srgbClr val="0E9ED9"/>
                  </a:solidFill>
                </a:endParaRPr>
              </a:p>
            </c:rich>
          </c:tx>
          <c:overlay val="0"/>
        </c:title>
        <c:numFmt formatCode="General" sourceLinked="1"/>
        <c:majorTickMark val="cross"/>
        <c:minorTickMark val="cross"/>
        <c:tickLblPos val="nextTo"/>
        <c:txPr>
          <a:bodyPr/>
          <a:lstStyle/>
          <a:p>
            <a:pPr>
              <a:defRPr b="1">
                <a:solidFill>
                  <a:srgbClr val="C00000"/>
                </a:solidFill>
              </a:defRPr>
            </a:pPr>
            <a:endParaRPr lang="en-US"/>
          </a:p>
        </c:txPr>
        <c:crossAx val="23199744"/>
        <c:crosses val="autoZero"/>
        <c:crossBetween val="midCat"/>
        <c:majorUnit val="5"/>
        <c:minorUnit val="1"/>
      </c:valAx>
      <c:valAx>
        <c:axId val="23199744"/>
        <c:scaling>
          <c:orientation val="minMax"/>
        </c:scaling>
        <c:delete val="0"/>
        <c:axPos val="l"/>
        <c:majorGridlines>
          <c:spPr>
            <a:ln>
              <a:solidFill>
                <a:srgbClr val="C00000"/>
              </a:solidFill>
            </a:ln>
          </c:spPr>
        </c:majorGridlines>
        <c:title>
          <c:tx>
            <c:rich>
              <a:bodyPr rot="-5400000" vert="horz"/>
              <a:lstStyle/>
              <a:p>
                <a:pPr>
                  <a:defRPr sz="1400" b="1">
                    <a:solidFill>
                      <a:srgbClr val="0E9ED9"/>
                    </a:solidFill>
                  </a:defRPr>
                </a:pPr>
                <a:r>
                  <a:rPr lang="en-US" sz="1400" b="1">
                    <a:solidFill>
                      <a:srgbClr val="0E9ED9"/>
                    </a:solidFill>
                  </a:rPr>
                  <a:t>Impedance (ohms)</a:t>
                </a:r>
              </a:p>
            </c:rich>
          </c:tx>
          <c:overlay val="0"/>
        </c:title>
        <c:numFmt formatCode="General" sourceLinked="1"/>
        <c:majorTickMark val="out"/>
        <c:minorTickMark val="none"/>
        <c:tickLblPos val="nextTo"/>
        <c:txPr>
          <a:bodyPr/>
          <a:lstStyle/>
          <a:p>
            <a:pPr>
              <a:defRPr b="1">
                <a:solidFill>
                  <a:srgbClr val="C00000"/>
                </a:solidFill>
              </a:defRPr>
            </a:pPr>
            <a:endParaRPr lang="en-US"/>
          </a:p>
        </c:txPr>
        <c:crossAx val="23132032"/>
        <c:crosses val="autoZero"/>
        <c:crossBetween val="midCat"/>
      </c:valAx>
      <c:spPr>
        <a:solidFill>
          <a:schemeClr val="bg1"/>
        </a:solidFill>
      </c:spPr>
    </c:plotArea>
    <c:plotVisOnly val="0"/>
    <c:dispBlanksAs val="gap"/>
    <c:showDLblsOverMax val="0"/>
  </c:chart>
  <c:spPr>
    <a:ln w="19050">
      <a:solidFill>
        <a:srgbClr val="C00000"/>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solidFill>
                  <a:srgbClr val="0E9ED9"/>
                </a:solidFill>
              </a:rPr>
              <a:t>Harmonic Filter Impedance</a:t>
            </a:r>
            <a:r>
              <a:rPr lang="en-US" sz="1400"/>
              <a:t> </a:t>
            </a:r>
          </a:p>
        </c:rich>
      </c:tx>
      <c:layout>
        <c:manualLayout>
          <c:xMode val="edge"/>
          <c:yMode val="edge"/>
          <c:x val="0.36735511161280626"/>
          <c:y val="2.3219116210638668E-2"/>
        </c:manualLayout>
      </c:layout>
      <c:overlay val="0"/>
    </c:title>
    <c:autoTitleDeleted val="0"/>
    <c:plotArea>
      <c:layout>
        <c:manualLayout>
          <c:layoutTarget val="inner"/>
          <c:xMode val="edge"/>
          <c:yMode val="edge"/>
          <c:x val="8.6266185476815402E-2"/>
          <c:y val="0.12872623936785796"/>
          <c:w val="0.85488298501358573"/>
          <c:h val="0.71265472482428827"/>
        </c:manualLayout>
      </c:layout>
      <c:scatterChart>
        <c:scatterStyle val="smoothMarker"/>
        <c:varyColors val="0"/>
        <c:ser>
          <c:idx val="0"/>
          <c:order val="0"/>
          <c:spPr>
            <a:ln>
              <a:solidFill>
                <a:srgbClr val="C00000"/>
              </a:solidFill>
            </a:ln>
          </c:spPr>
          <c:marker>
            <c:symbol val="none"/>
          </c:marker>
          <c:xVal>
            <c:numRef>
              <c:f>'C-HP Filter Design'!$FN$5:$FN$254</c:f>
              <c:numCache>
                <c:formatCode>General</c:formatCode>
                <c:ptCount val="250"/>
                <c:pt idx="0">
                  <c:v>1</c:v>
                </c:pt>
                <c:pt idx="1">
                  <c:v>1.2</c:v>
                </c:pt>
                <c:pt idx="2">
                  <c:v>1.4</c:v>
                </c:pt>
                <c:pt idx="3">
                  <c:v>1.6</c:v>
                </c:pt>
                <c:pt idx="4">
                  <c:v>1.8</c:v>
                </c:pt>
                <c:pt idx="5">
                  <c:v>2</c:v>
                </c:pt>
                <c:pt idx="6">
                  <c:v>2.2000000000000002</c:v>
                </c:pt>
                <c:pt idx="7">
                  <c:v>2.4</c:v>
                </c:pt>
                <c:pt idx="8">
                  <c:v>2.6</c:v>
                </c:pt>
                <c:pt idx="9">
                  <c:v>2.8</c:v>
                </c:pt>
                <c:pt idx="10">
                  <c:v>3</c:v>
                </c:pt>
                <c:pt idx="11">
                  <c:v>3.2</c:v>
                </c:pt>
                <c:pt idx="12">
                  <c:v>3.4</c:v>
                </c:pt>
                <c:pt idx="13">
                  <c:v>3.6</c:v>
                </c:pt>
                <c:pt idx="14">
                  <c:v>3.8</c:v>
                </c:pt>
                <c:pt idx="15">
                  <c:v>4</c:v>
                </c:pt>
                <c:pt idx="16">
                  <c:v>4.2</c:v>
                </c:pt>
                <c:pt idx="17">
                  <c:v>4.4000000000000004</c:v>
                </c:pt>
                <c:pt idx="18">
                  <c:v>4.5999999999999996</c:v>
                </c:pt>
                <c:pt idx="19">
                  <c:v>4.8</c:v>
                </c:pt>
                <c:pt idx="20">
                  <c:v>5</c:v>
                </c:pt>
                <c:pt idx="21">
                  <c:v>5.2</c:v>
                </c:pt>
                <c:pt idx="22">
                  <c:v>5.4</c:v>
                </c:pt>
                <c:pt idx="23">
                  <c:v>5.6</c:v>
                </c:pt>
                <c:pt idx="24">
                  <c:v>5.8</c:v>
                </c:pt>
                <c:pt idx="25">
                  <c:v>6</c:v>
                </c:pt>
                <c:pt idx="26">
                  <c:v>6.2</c:v>
                </c:pt>
                <c:pt idx="27">
                  <c:v>6.4</c:v>
                </c:pt>
                <c:pt idx="28">
                  <c:v>6.6</c:v>
                </c:pt>
                <c:pt idx="29">
                  <c:v>6.8</c:v>
                </c:pt>
                <c:pt idx="30">
                  <c:v>7</c:v>
                </c:pt>
                <c:pt idx="31">
                  <c:v>7.2</c:v>
                </c:pt>
                <c:pt idx="32">
                  <c:v>7.4</c:v>
                </c:pt>
                <c:pt idx="33">
                  <c:v>7.6</c:v>
                </c:pt>
                <c:pt idx="34">
                  <c:v>7.8</c:v>
                </c:pt>
                <c:pt idx="35">
                  <c:v>8</c:v>
                </c:pt>
                <c:pt idx="36">
                  <c:v>8.1999999999999993</c:v>
                </c:pt>
                <c:pt idx="39">
                  <c:v>8.4</c:v>
                </c:pt>
                <c:pt idx="40">
                  <c:v>8.6</c:v>
                </c:pt>
                <c:pt idx="41">
                  <c:v>8.8000000000000007</c:v>
                </c:pt>
                <c:pt idx="43">
                  <c:v>9</c:v>
                </c:pt>
                <c:pt idx="44">
                  <c:v>9.1999999999999993</c:v>
                </c:pt>
                <c:pt idx="45">
                  <c:v>9.4</c:v>
                </c:pt>
                <c:pt idx="46">
                  <c:v>9.6</c:v>
                </c:pt>
                <c:pt idx="47">
                  <c:v>9.8000000000000007</c:v>
                </c:pt>
                <c:pt idx="48">
                  <c:v>10</c:v>
                </c:pt>
                <c:pt idx="49">
                  <c:v>10.199999999999999</c:v>
                </c:pt>
                <c:pt idx="50">
                  <c:v>10.4</c:v>
                </c:pt>
                <c:pt idx="51">
                  <c:v>10.6</c:v>
                </c:pt>
                <c:pt idx="52">
                  <c:v>10.8</c:v>
                </c:pt>
                <c:pt idx="53">
                  <c:v>11</c:v>
                </c:pt>
                <c:pt idx="54">
                  <c:v>11.2</c:v>
                </c:pt>
                <c:pt idx="55">
                  <c:v>11.4</c:v>
                </c:pt>
                <c:pt idx="56">
                  <c:v>11.6</c:v>
                </c:pt>
                <c:pt idx="57">
                  <c:v>11.8</c:v>
                </c:pt>
                <c:pt idx="58">
                  <c:v>12</c:v>
                </c:pt>
                <c:pt idx="59">
                  <c:v>12.2</c:v>
                </c:pt>
                <c:pt idx="60">
                  <c:v>12.4</c:v>
                </c:pt>
                <c:pt idx="61">
                  <c:v>12.6</c:v>
                </c:pt>
                <c:pt idx="62">
                  <c:v>12.8</c:v>
                </c:pt>
                <c:pt idx="63">
                  <c:v>13</c:v>
                </c:pt>
                <c:pt idx="64">
                  <c:v>13.2</c:v>
                </c:pt>
                <c:pt idx="66">
                  <c:v>13.4</c:v>
                </c:pt>
                <c:pt idx="67">
                  <c:v>13.6</c:v>
                </c:pt>
                <c:pt idx="68">
                  <c:v>13.8</c:v>
                </c:pt>
                <c:pt idx="69">
                  <c:v>14</c:v>
                </c:pt>
                <c:pt idx="70">
                  <c:v>14.2</c:v>
                </c:pt>
                <c:pt idx="71">
                  <c:v>14.4</c:v>
                </c:pt>
                <c:pt idx="72">
                  <c:v>14.6</c:v>
                </c:pt>
                <c:pt idx="73">
                  <c:v>14.8</c:v>
                </c:pt>
                <c:pt idx="74">
                  <c:v>15</c:v>
                </c:pt>
                <c:pt idx="75">
                  <c:v>15.2</c:v>
                </c:pt>
                <c:pt idx="76">
                  <c:v>15.4</c:v>
                </c:pt>
                <c:pt idx="77">
                  <c:v>15.6</c:v>
                </c:pt>
                <c:pt idx="78">
                  <c:v>15.8</c:v>
                </c:pt>
                <c:pt idx="79">
                  <c:v>16</c:v>
                </c:pt>
                <c:pt idx="80">
                  <c:v>16.2</c:v>
                </c:pt>
                <c:pt idx="81">
                  <c:v>16.399999999999999</c:v>
                </c:pt>
                <c:pt idx="82">
                  <c:v>16.600000000000001</c:v>
                </c:pt>
                <c:pt idx="83">
                  <c:v>16.8</c:v>
                </c:pt>
                <c:pt idx="84">
                  <c:v>17</c:v>
                </c:pt>
                <c:pt idx="85">
                  <c:v>17.2</c:v>
                </c:pt>
                <c:pt idx="86">
                  <c:v>17.399999999999999</c:v>
                </c:pt>
                <c:pt idx="87">
                  <c:v>17.600000000000001</c:v>
                </c:pt>
                <c:pt idx="88">
                  <c:v>17.8</c:v>
                </c:pt>
                <c:pt idx="89">
                  <c:v>18</c:v>
                </c:pt>
                <c:pt idx="90">
                  <c:v>18.2</c:v>
                </c:pt>
                <c:pt idx="91">
                  <c:v>18.399999999999999</c:v>
                </c:pt>
                <c:pt idx="92">
                  <c:v>18.600000000000001</c:v>
                </c:pt>
                <c:pt idx="93">
                  <c:v>18.8</c:v>
                </c:pt>
                <c:pt idx="94">
                  <c:v>19</c:v>
                </c:pt>
                <c:pt idx="95">
                  <c:v>19.2</c:v>
                </c:pt>
                <c:pt idx="96">
                  <c:v>19.399999999999999</c:v>
                </c:pt>
                <c:pt idx="97">
                  <c:v>19.600000000000001</c:v>
                </c:pt>
                <c:pt idx="98">
                  <c:v>19.8</c:v>
                </c:pt>
                <c:pt idx="99">
                  <c:v>20</c:v>
                </c:pt>
                <c:pt idx="100">
                  <c:v>20.2</c:v>
                </c:pt>
                <c:pt idx="101">
                  <c:v>20.399999999999999</c:v>
                </c:pt>
                <c:pt idx="102">
                  <c:v>20.6</c:v>
                </c:pt>
                <c:pt idx="103">
                  <c:v>20.8</c:v>
                </c:pt>
                <c:pt idx="104">
                  <c:v>21</c:v>
                </c:pt>
                <c:pt idx="105">
                  <c:v>21.2</c:v>
                </c:pt>
                <c:pt idx="106">
                  <c:v>21.4</c:v>
                </c:pt>
                <c:pt idx="107">
                  <c:v>21.6</c:v>
                </c:pt>
                <c:pt idx="108">
                  <c:v>21.8</c:v>
                </c:pt>
                <c:pt idx="109">
                  <c:v>22</c:v>
                </c:pt>
                <c:pt idx="110">
                  <c:v>22.2</c:v>
                </c:pt>
                <c:pt idx="111">
                  <c:v>22.4</c:v>
                </c:pt>
                <c:pt idx="112">
                  <c:v>22.6</c:v>
                </c:pt>
                <c:pt idx="113">
                  <c:v>22.8</c:v>
                </c:pt>
                <c:pt idx="114">
                  <c:v>23</c:v>
                </c:pt>
                <c:pt idx="115">
                  <c:v>23.2</c:v>
                </c:pt>
                <c:pt idx="116">
                  <c:v>23.4</c:v>
                </c:pt>
                <c:pt idx="117">
                  <c:v>23.6</c:v>
                </c:pt>
                <c:pt idx="118">
                  <c:v>23.8</c:v>
                </c:pt>
                <c:pt idx="119">
                  <c:v>24</c:v>
                </c:pt>
                <c:pt idx="120">
                  <c:v>24.2</c:v>
                </c:pt>
                <c:pt idx="121">
                  <c:v>24.4</c:v>
                </c:pt>
                <c:pt idx="122">
                  <c:v>24.6</c:v>
                </c:pt>
                <c:pt idx="123">
                  <c:v>24.8</c:v>
                </c:pt>
                <c:pt idx="124">
                  <c:v>25</c:v>
                </c:pt>
                <c:pt idx="125">
                  <c:v>25.2</c:v>
                </c:pt>
                <c:pt idx="126">
                  <c:v>25.4</c:v>
                </c:pt>
                <c:pt idx="127">
                  <c:v>25.6</c:v>
                </c:pt>
                <c:pt idx="128">
                  <c:v>25.8</c:v>
                </c:pt>
                <c:pt idx="129">
                  <c:v>26</c:v>
                </c:pt>
                <c:pt idx="130">
                  <c:v>26.2</c:v>
                </c:pt>
                <c:pt idx="131">
                  <c:v>26.4</c:v>
                </c:pt>
                <c:pt idx="132">
                  <c:v>26.6</c:v>
                </c:pt>
                <c:pt idx="133">
                  <c:v>26.8</c:v>
                </c:pt>
                <c:pt idx="134">
                  <c:v>27</c:v>
                </c:pt>
                <c:pt idx="135">
                  <c:v>27.2</c:v>
                </c:pt>
                <c:pt idx="136">
                  <c:v>27.4</c:v>
                </c:pt>
                <c:pt idx="137">
                  <c:v>27.6</c:v>
                </c:pt>
                <c:pt idx="138">
                  <c:v>27.8</c:v>
                </c:pt>
                <c:pt idx="139">
                  <c:v>28</c:v>
                </c:pt>
                <c:pt idx="140">
                  <c:v>28.2</c:v>
                </c:pt>
                <c:pt idx="141">
                  <c:v>28.4</c:v>
                </c:pt>
                <c:pt idx="142">
                  <c:v>28.6</c:v>
                </c:pt>
                <c:pt idx="143">
                  <c:v>28.8</c:v>
                </c:pt>
                <c:pt idx="144">
                  <c:v>29</c:v>
                </c:pt>
                <c:pt idx="145">
                  <c:v>29.2</c:v>
                </c:pt>
                <c:pt idx="146">
                  <c:v>29.4</c:v>
                </c:pt>
                <c:pt idx="147">
                  <c:v>29.6</c:v>
                </c:pt>
                <c:pt idx="148">
                  <c:v>29.8</c:v>
                </c:pt>
                <c:pt idx="149">
                  <c:v>30</c:v>
                </c:pt>
                <c:pt idx="150">
                  <c:v>30.2</c:v>
                </c:pt>
                <c:pt idx="151">
                  <c:v>30.4</c:v>
                </c:pt>
                <c:pt idx="152">
                  <c:v>30.6</c:v>
                </c:pt>
                <c:pt idx="153">
                  <c:v>30.8</c:v>
                </c:pt>
                <c:pt idx="154">
                  <c:v>31</c:v>
                </c:pt>
                <c:pt idx="155">
                  <c:v>31.2</c:v>
                </c:pt>
                <c:pt idx="156">
                  <c:v>31.4</c:v>
                </c:pt>
                <c:pt idx="157">
                  <c:v>31.6</c:v>
                </c:pt>
                <c:pt idx="158">
                  <c:v>31.8</c:v>
                </c:pt>
                <c:pt idx="159">
                  <c:v>32</c:v>
                </c:pt>
                <c:pt idx="160">
                  <c:v>32.200000000000003</c:v>
                </c:pt>
                <c:pt idx="161">
                  <c:v>32.4</c:v>
                </c:pt>
                <c:pt idx="162">
                  <c:v>32.6</c:v>
                </c:pt>
                <c:pt idx="163">
                  <c:v>32.799999999999997</c:v>
                </c:pt>
                <c:pt idx="164">
                  <c:v>33</c:v>
                </c:pt>
                <c:pt idx="165">
                  <c:v>33.200000000000003</c:v>
                </c:pt>
                <c:pt idx="166">
                  <c:v>33.4</c:v>
                </c:pt>
                <c:pt idx="167">
                  <c:v>33.6</c:v>
                </c:pt>
                <c:pt idx="168">
                  <c:v>33.799999999999997</c:v>
                </c:pt>
                <c:pt idx="169">
                  <c:v>34</c:v>
                </c:pt>
                <c:pt idx="170">
                  <c:v>34.200000000000003</c:v>
                </c:pt>
                <c:pt idx="171">
                  <c:v>34.4</c:v>
                </c:pt>
                <c:pt idx="172">
                  <c:v>34.6</c:v>
                </c:pt>
                <c:pt idx="173">
                  <c:v>34.799999999999997</c:v>
                </c:pt>
                <c:pt idx="174">
                  <c:v>35</c:v>
                </c:pt>
                <c:pt idx="175">
                  <c:v>35.200000000000003</c:v>
                </c:pt>
                <c:pt idx="176">
                  <c:v>35.4</c:v>
                </c:pt>
                <c:pt idx="177">
                  <c:v>35.6</c:v>
                </c:pt>
                <c:pt idx="178">
                  <c:v>35.799999999999997</c:v>
                </c:pt>
                <c:pt idx="179">
                  <c:v>36</c:v>
                </c:pt>
                <c:pt idx="180">
                  <c:v>36.200000000000003</c:v>
                </c:pt>
                <c:pt idx="181">
                  <c:v>36.4</c:v>
                </c:pt>
                <c:pt idx="182">
                  <c:v>36.6</c:v>
                </c:pt>
                <c:pt idx="183">
                  <c:v>36.799999999999997</c:v>
                </c:pt>
                <c:pt idx="184">
                  <c:v>37</c:v>
                </c:pt>
                <c:pt idx="185">
                  <c:v>37.200000000000003</c:v>
                </c:pt>
                <c:pt idx="186">
                  <c:v>37.4</c:v>
                </c:pt>
                <c:pt idx="187">
                  <c:v>37.6</c:v>
                </c:pt>
                <c:pt idx="188">
                  <c:v>37.799999999999997</c:v>
                </c:pt>
                <c:pt idx="189">
                  <c:v>38</c:v>
                </c:pt>
                <c:pt idx="190">
                  <c:v>38.200000000000003</c:v>
                </c:pt>
                <c:pt idx="191">
                  <c:v>38.4</c:v>
                </c:pt>
                <c:pt idx="192">
                  <c:v>38.6</c:v>
                </c:pt>
                <c:pt idx="193">
                  <c:v>38.799999999999997</c:v>
                </c:pt>
                <c:pt idx="194">
                  <c:v>39</c:v>
                </c:pt>
                <c:pt idx="195">
                  <c:v>39.200000000000003</c:v>
                </c:pt>
                <c:pt idx="196">
                  <c:v>39.4</c:v>
                </c:pt>
                <c:pt idx="197">
                  <c:v>39.6</c:v>
                </c:pt>
                <c:pt idx="198">
                  <c:v>39.799999999999997</c:v>
                </c:pt>
                <c:pt idx="199">
                  <c:v>40</c:v>
                </c:pt>
                <c:pt idx="200">
                  <c:v>40.200000000000003</c:v>
                </c:pt>
                <c:pt idx="201">
                  <c:v>40.4</c:v>
                </c:pt>
                <c:pt idx="202">
                  <c:v>40.6</c:v>
                </c:pt>
                <c:pt idx="203">
                  <c:v>40.799999999999997</c:v>
                </c:pt>
                <c:pt idx="204">
                  <c:v>41</c:v>
                </c:pt>
                <c:pt idx="205">
                  <c:v>41.2</c:v>
                </c:pt>
                <c:pt idx="206">
                  <c:v>41.4</c:v>
                </c:pt>
                <c:pt idx="207">
                  <c:v>41.6</c:v>
                </c:pt>
                <c:pt idx="208">
                  <c:v>41.8</c:v>
                </c:pt>
                <c:pt idx="209">
                  <c:v>42</c:v>
                </c:pt>
                <c:pt idx="210">
                  <c:v>42.2</c:v>
                </c:pt>
                <c:pt idx="211">
                  <c:v>42.4</c:v>
                </c:pt>
                <c:pt idx="212">
                  <c:v>42.6</c:v>
                </c:pt>
                <c:pt idx="213">
                  <c:v>42.8</c:v>
                </c:pt>
                <c:pt idx="214">
                  <c:v>43</c:v>
                </c:pt>
                <c:pt idx="215">
                  <c:v>43.2</c:v>
                </c:pt>
                <c:pt idx="216">
                  <c:v>43.4</c:v>
                </c:pt>
                <c:pt idx="217">
                  <c:v>43.6</c:v>
                </c:pt>
                <c:pt idx="218">
                  <c:v>43.8</c:v>
                </c:pt>
                <c:pt idx="219">
                  <c:v>44</c:v>
                </c:pt>
                <c:pt idx="220">
                  <c:v>44.2</c:v>
                </c:pt>
                <c:pt idx="221">
                  <c:v>44.4</c:v>
                </c:pt>
                <c:pt idx="222">
                  <c:v>44.6</c:v>
                </c:pt>
                <c:pt idx="223">
                  <c:v>44.8</c:v>
                </c:pt>
                <c:pt idx="224">
                  <c:v>45</c:v>
                </c:pt>
                <c:pt idx="225">
                  <c:v>45.2</c:v>
                </c:pt>
                <c:pt idx="226">
                  <c:v>45.4</c:v>
                </c:pt>
                <c:pt idx="227">
                  <c:v>45.6</c:v>
                </c:pt>
                <c:pt idx="228">
                  <c:v>45.8</c:v>
                </c:pt>
                <c:pt idx="229">
                  <c:v>46</c:v>
                </c:pt>
                <c:pt idx="230">
                  <c:v>46.2</c:v>
                </c:pt>
                <c:pt idx="231">
                  <c:v>46.4</c:v>
                </c:pt>
                <c:pt idx="232">
                  <c:v>46.6</c:v>
                </c:pt>
                <c:pt idx="233">
                  <c:v>46.8</c:v>
                </c:pt>
                <c:pt idx="234">
                  <c:v>47</c:v>
                </c:pt>
                <c:pt idx="235">
                  <c:v>47.2</c:v>
                </c:pt>
                <c:pt idx="236">
                  <c:v>47.4</c:v>
                </c:pt>
                <c:pt idx="237">
                  <c:v>47.6</c:v>
                </c:pt>
                <c:pt idx="238">
                  <c:v>47.8</c:v>
                </c:pt>
                <c:pt idx="239">
                  <c:v>48</c:v>
                </c:pt>
                <c:pt idx="240">
                  <c:v>48.2</c:v>
                </c:pt>
                <c:pt idx="241">
                  <c:v>48.4</c:v>
                </c:pt>
                <c:pt idx="242">
                  <c:v>48.6</c:v>
                </c:pt>
                <c:pt idx="243">
                  <c:v>48.8</c:v>
                </c:pt>
                <c:pt idx="244">
                  <c:v>49</c:v>
                </c:pt>
                <c:pt idx="245">
                  <c:v>49.2</c:v>
                </c:pt>
                <c:pt idx="246">
                  <c:v>49.4</c:v>
                </c:pt>
                <c:pt idx="247">
                  <c:v>49.6</c:v>
                </c:pt>
                <c:pt idx="248">
                  <c:v>49.8</c:v>
                </c:pt>
                <c:pt idx="249">
                  <c:v>50</c:v>
                </c:pt>
              </c:numCache>
            </c:numRef>
          </c:xVal>
          <c:yVal>
            <c:numRef>
              <c:f>'C-HP Filter Design'!$FO$5:$FO$254</c:f>
              <c:numCache>
                <c:formatCode>General</c:formatCode>
                <c:ptCount val="250"/>
                <c:pt idx="0">
                  <c:v>25.91681928751694</c:v>
                </c:pt>
                <c:pt idx="1">
                  <c:v>21.202730148267467</c:v>
                </c:pt>
                <c:pt idx="2">
                  <c:v>17.776568609789265</c:v>
                </c:pt>
                <c:pt idx="3">
                  <c:v>15.157533827821364</c:v>
                </c:pt>
                <c:pt idx="4">
                  <c:v>13.078665963198423</c:v>
                </c:pt>
                <c:pt idx="5">
                  <c:v>11.380045476628379</c:v>
                </c:pt>
                <c:pt idx="6">
                  <c:v>9.9602293501150356</c:v>
                </c:pt>
                <c:pt idx="7">
                  <c:v>8.7519666278166319</c:v>
                </c:pt>
                <c:pt idx="8">
                  <c:v>7.7091466371009583</c:v>
                </c:pt>
                <c:pt idx="9">
                  <c:v>6.7993739794486956</c:v>
                </c:pt>
                <c:pt idx="10">
                  <c:v>5.9995507862362496</c:v>
                </c:pt>
                <c:pt idx="11">
                  <c:v>5.2931817473200367</c:v>
                </c:pt>
                <c:pt idx="12">
                  <c:v>4.6687051791853378</c:v>
                </c:pt>
                <c:pt idx="13">
                  <c:v>4.118457585923764</c:v>
                </c:pt>
                <c:pt idx="14">
                  <c:v>3.6380584920072412</c:v>
                </c:pt>
                <c:pt idx="15">
                  <c:v>3.2259964081791845</c:v>
                </c:pt>
                <c:pt idx="16">
                  <c:v>2.8832252666650935</c:v>
                </c:pt>
                <c:pt idx="17">
                  <c:v>2.6124332795751934</c:v>
                </c:pt>
                <c:pt idx="18">
                  <c:v>2.4166505291717297</c:v>
                </c:pt>
                <c:pt idx="19">
                  <c:v>2.2971009627530523</c:v>
                </c:pt>
                <c:pt idx="20">
                  <c:v>2.250996345667847</c:v>
                </c:pt>
                <c:pt idx="21">
                  <c:v>2.2706261250141999</c:v>
                </c:pt>
                <c:pt idx="22">
                  <c:v>2.3445556856993184</c:v>
                </c:pt>
                <c:pt idx="23">
                  <c:v>2.4600769668376232</c:v>
                </c:pt>
                <c:pt idx="24">
                  <c:v>2.6054367489578403</c:v>
                </c:pt>
                <c:pt idx="25">
                  <c:v>2.7709570717136707</c:v>
                </c:pt>
                <c:pt idx="26">
                  <c:v>2.9492410896305175</c:v>
                </c:pt>
                <c:pt idx="27">
                  <c:v>3.1348656584884136</c:v>
                </c:pt>
                <c:pt idx="28">
                  <c:v>3.3239626077944977</c:v>
                </c:pt>
                <c:pt idx="29">
                  <c:v>3.513799180921414</c:v>
                </c:pt>
                <c:pt idx="30">
                  <c:v>3.702475037013079</c:v>
                </c:pt>
                <c:pt idx="31">
                  <c:v>3.8886696615727079</c:v>
                </c:pt>
                <c:pt idx="32">
                  <c:v>4.071482225299528</c:v>
                </c:pt>
                <c:pt idx="33">
                  <c:v>4.2503079760236204</c:v>
                </c:pt>
                <c:pt idx="34">
                  <c:v>4.4247512582536208</c:v>
                </c:pt>
                <c:pt idx="35">
                  <c:v>4.5945714526577994</c:v>
                </c:pt>
                <c:pt idx="36">
                  <c:v>4.7596311249722909</c:v>
                </c:pt>
                <c:pt idx="39">
                  <c:v>4.9198789292596423</c:v>
                </c:pt>
                <c:pt idx="40">
                  <c:v>5.0753150157830591</c:v>
                </c:pt>
                <c:pt idx="41">
                  <c:v>5.2259822391066351</c:v>
                </c:pt>
                <c:pt idx="43">
                  <c:v>5.3719532954457074</c:v>
                </c:pt>
                <c:pt idx="44">
                  <c:v>5.513322339652925</c:v>
                </c:pt>
                <c:pt idx="45">
                  <c:v>5.6501944529688535</c:v>
                </c:pt>
                <c:pt idx="46">
                  <c:v>5.7826897168546925</c:v>
                </c:pt>
                <c:pt idx="47">
                  <c:v>5.9109311917175962</c:v>
                </c:pt>
                <c:pt idx="48">
                  <c:v>6.0350466395782725</c:v>
                </c:pt>
                <c:pt idx="49">
                  <c:v>6.1551638888696543</c:v>
                </c:pt>
                <c:pt idx="50">
                  <c:v>6.2714142244340705</c:v>
                </c:pt>
                <c:pt idx="51">
                  <c:v>6.3839255715218055</c:v>
                </c:pt>
                <c:pt idx="52">
                  <c:v>6.492824254607851</c:v>
                </c:pt>
                <c:pt idx="53">
                  <c:v>6.5982345118648977</c:v>
                </c:pt>
                <c:pt idx="54">
                  <c:v>6.7002793738435269</c:v>
                </c:pt>
                <c:pt idx="55">
                  <c:v>6.7990754477037534</c:v>
                </c:pt>
                <c:pt idx="56">
                  <c:v>6.8947390408590525</c:v>
                </c:pt>
                <c:pt idx="57">
                  <c:v>6.9873823816809972</c:v>
                </c:pt>
                <c:pt idx="58">
                  <c:v>7.0771127142828529</c:v>
                </c:pt>
                <c:pt idx="59">
                  <c:v>7.1640353752337091</c:v>
                </c:pt>
                <c:pt idx="60">
                  <c:v>7.2482511186333767</c:v>
                </c:pt>
                <c:pt idx="61">
                  <c:v>7.3298579199573162</c:v>
                </c:pt>
                <c:pt idx="62">
                  <c:v>7.4089487866547588</c:v>
                </c:pt>
                <c:pt idx="63">
                  <c:v>7.4856153967909682</c:v>
                </c:pt>
                <c:pt idx="64">
                  <c:v>7.5599440864748466</c:v>
                </c:pt>
                <c:pt idx="66">
                  <c:v>7.6320204132935858</c:v>
                </c:pt>
                <c:pt idx="67">
                  <c:v>7.7019238005107535</c:v>
                </c:pt>
                <c:pt idx="68">
                  <c:v>7.7697326123600936</c:v>
                </c:pt>
                <c:pt idx="69">
                  <c:v>7.8355210441384813</c:v>
                </c:pt>
                <c:pt idx="70">
                  <c:v>7.8993626678289059</c:v>
                </c:pt>
                <c:pt idx="71">
                  <c:v>7.9613242589922191</c:v>
                </c:pt>
                <c:pt idx="72">
                  <c:v>8.0214740743138364</c:v>
                </c:pt>
                <c:pt idx="73">
                  <c:v>8.0798767803389193</c:v>
                </c:pt>
                <c:pt idx="74">
                  <c:v>8.1365908469260013</c:v>
                </c:pt>
                <c:pt idx="75">
                  <c:v>8.1916775242657724</c:v>
                </c:pt>
                <c:pt idx="76">
                  <c:v>8.2451937901627286</c:v>
                </c:pt>
                <c:pt idx="77">
                  <c:v>8.2971920187446546</c:v>
                </c:pt>
                <c:pt idx="78">
                  <c:v>8.3477269954167159</c:v>
                </c:pt>
                <c:pt idx="79">
                  <c:v>8.3968473960038708</c:v>
                </c:pt>
                <c:pt idx="80">
                  <c:v>8.4446037305755208</c:v>
                </c:pt>
                <c:pt idx="81">
                  <c:v>8.4910401006645237</c:v>
                </c:pt>
                <c:pt idx="82">
                  <c:v>8.5362025945031323</c:v>
                </c:pt>
                <c:pt idx="83">
                  <c:v>8.5801337033993246</c:v>
                </c:pt>
                <c:pt idx="84">
                  <c:v>8.6228751526312273</c:v>
                </c:pt>
                <c:pt idx="85">
                  <c:v>8.6644670154355126</c:v>
                </c:pt>
                <c:pt idx="86">
                  <c:v>8.7049471549074902</c:v>
                </c:pt>
                <c:pt idx="87">
                  <c:v>8.7443518289939011</c:v>
                </c:pt>
                <c:pt idx="88">
                  <c:v>8.7827171844039817</c:v>
                </c:pt>
                <c:pt idx="89">
                  <c:v>8.8200770295176554</c:v>
                </c:pt>
                <c:pt idx="90">
                  <c:v>8.856464351840863</c:v>
                </c:pt>
                <c:pt idx="91">
                  <c:v>8.8919109920522725</c:v>
                </c:pt>
                <c:pt idx="92">
                  <c:v>8.9264466164077838</c:v>
                </c:pt>
                <c:pt idx="93">
                  <c:v>8.9600996547248286</c:v>
                </c:pt>
                <c:pt idx="94">
                  <c:v>8.9929004769176668</c:v>
                </c:pt>
                <c:pt idx="95">
                  <c:v>9.0248742681947665</c:v>
                </c:pt>
                <c:pt idx="96">
                  <c:v>9.0560471193586984</c:v>
                </c:pt>
                <c:pt idx="97">
                  <c:v>9.0864456935095355</c:v>
                </c:pt>
                <c:pt idx="98">
                  <c:v>9.1160931950179744</c:v>
                </c:pt>
                <c:pt idx="99">
                  <c:v>9.1450126811470316</c:v>
                </c:pt>
                <c:pt idx="100">
                  <c:v>9.17322665247627</c:v>
                </c:pt>
                <c:pt idx="101">
                  <c:v>9.2007575452635422</c:v>
                </c:pt>
                <c:pt idx="102">
                  <c:v>9.2276255798510824</c:v>
                </c:pt>
                <c:pt idx="103">
                  <c:v>9.2538509778346878</c:v>
                </c:pt>
                <c:pt idx="104">
                  <c:v>9.279453012648645</c:v>
                </c:pt>
                <c:pt idx="105">
                  <c:v>9.3044509503145854</c:v>
                </c:pt>
                <c:pt idx="106">
                  <c:v>9.3288618623607569</c:v>
                </c:pt>
                <c:pt idx="107">
                  <c:v>9.352703465595388</c:v>
                </c:pt>
                <c:pt idx="108">
                  <c:v>9.3759941120512647</c:v>
                </c:pt>
                <c:pt idx="109">
                  <c:v>9.3987486973343977</c:v>
                </c:pt>
                <c:pt idx="110">
                  <c:v>9.4209821402905227</c:v>
                </c:pt>
                <c:pt idx="111">
                  <c:v>9.4427100305580698</c:v>
                </c:pt>
                <c:pt idx="112">
                  <c:v>9.4639479399549735</c:v>
                </c:pt>
                <c:pt idx="113">
                  <c:v>9.4847086354423151</c:v>
                </c:pt>
                <c:pt idx="114">
                  <c:v>9.5050074714414077</c:v>
                </c:pt>
                <c:pt idx="115">
                  <c:v>9.5248553554390529</c:v>
                </c:pt>
                <c:pt idx="116">
                  <c:v>9.5442667384389992</c:v>
                </c:pt>
                <c:pt idx="117">
                  <c:v>9.5632522742490682</c:v>
                </c:pt>
                <c:pt idx="118">
                  <c:v>9.5818255067679043</c:v>
                </c:pt>
                <c:pt idx="119">
                  <c:v>9.5999978013041751</c:v>
                </c:pt>
                <c:pt idx="120">
                  <c:v>9.6177793056264829</c:v>
                </c:pt>
                <c:pt idx="121">
                  <c:v>9.6351810480611633</c:v>
                </c:pt>
                <c:pt idx="122">
                  <c:v>9.652212937296401</c:v>
                </c:pt>
                <c:pt idx="123">
                  <c:v>9.6688858778791058</c:v>
                </c:pt>
                <c:pt idx="124">
                  <c:v>9.6852090400504007</c:v>
                </c:pt>
                <c:pt idx="125">
                  <c:v>9.7011918601807388</c:v>
                </c:pt>
                <c:pt idx="126">
                  <c:v>9.7168442304490004</c:v>
                </c:pt>
                <c:pt idx="127">
                  <c:v>9.7321737264165211</c:v>
                </c:pt>
                <c:pt idx="128">
                  <c:v>9.7471890462320463</c:v>
                </c:pt>
                <c:pt idx="129">
                  <c:v>9.7618993244702139</c:v>
                </c:pt>
                <c:pt idx="130">
                  <c:v>9.7763127581914535</c:v>
                </c:pt>
                <c:pt idx="131">
                  <c:v>9.79043510866601</c:v>
                </c:pt>
                <c:pt idx="132">
                  <c:v>9.804275153506147</c:v>
                </c:pt>
                <c:pt idx="133">
                  <c:v>9.8178403682401054</c:v>
                </c:pt>
                <c:pt idx="134">
                  <c:v>9.8311376401936297</c:v>
                </c:pt>
                <c:pt idx="135">
                  <c:v>9.8441735321239641</c:v>
                </c:pt>
                <c:pt idx="136">
                  <c:v>9.8569556725736565</c:v>
                </c:pt>
                <c:pt idx="137">
                  <c:v>9.8694880335012822</c:v>
                </c:pt>
                <c:pt idx="138">
                  <c:v>9.881779446930647</c:v>
                </c:pt>
                <c:pt idx="139">
                  <c:v>9.8938346955895717</c:v>
                </c:pt>
                <c:pt idx="140">
                  <c:v>9.9056597495422292</c:v>
                </c:pt>
                <c:pt idx="141">
                  <c:v>9.9172596357310319</c:v>
                </c:pt>
                <c:pt idx="142">
                  <c:v>9.9286415895292546</c:v>
                </c:pt>
                <c:pt idx="143">
                  <c:v>9.9398087426330797</c:v>
                </c:pt>
                <c:pt idx="144">
                  <c:v>9.9507686134214275</c:v>
                </c:pt>
                <c:pt idx="145">
                  <c:v>9.9615238793224794</c:v>
                </c:pt>
                <c:pt idx="146">
                  <c:v>9.972082096135491</c:v>
                </c:pt>
                <c:pt idx="147">
                  <c:v>9.9824454967641074</c:v>
                </c:pt>
                <c:pt idx="148">
                  <c:v>9.9926192424048672</c:v>
                </c:pt>
                <c:pt idx="149">
                  <c:v>10.002609484667939</c:v>
                </c:pt>
                <c:pt idx="150">
                  <c:v>10.012418508400554</c:v>
                </c:pt>
                <c:pt idx="151">
                  <c:v>10.022051763457021</c:v>
                </c:pt>
                <c:pt idx="152">
                  <c:v>10.031512299967536</c:v>
                </c:pt>
                <c:pt idx="153">
                  <c:v>10.040805597945067</c:v>
                </c:pt>
                <c:pt idx="154">
                  <c:v>10.049933767998127</c:v>
                </c:pt>
                <c:pt idx="155">
                  <c:v>10.058902088075914</c:v>
                </c:pt>
                <c:pt idx="156">
                  <c:v>10.067713904889033</c:v>
                </c:pt>
                <c:pt idx="157">
                  <c:v>10.076371604353623</c:v>
                </c:pt>
                <c:pt idx="158">
                  <c:v>10.084880280674085</c:v>
                </c:pt>
                <c:pt idx="159">
                  <c:v>10.093241599143955</c:v>
                </c:pt>
                <c:pt idx="160">
                  <c:v>10.101460682217398</c:v>
                </c:pt>
                <c:pt idx="161">
                  <c:v>10.109539968400638</c:v>
                </c:pt>
                <c:pt idx="162">
                  <c:v>10.117481906566722</c:v>
                </c:pt>
                <c:pt idx="163">
                  <c:v>10.125289492003724</c:v>
                </c:pt>
                <c:pt idx="164">
                  <c:v>10.132966614364623</c:v>
                </c:pt>
                <c:pt idx="165">
                  <c:v>10.14051629532984</c:v>
                </c:pt>
                <c:pt idx="166">
                  <c:v>10.147940271987906</c:v>
                </c:pt>
                <c:pt idx="167">
                  <c:v>10.155241593250453</c:v>
                </c:pt>
                <c:pt idx="168">
                  <c:v>10.162422991692976</c:v>
                </c:pt>
                <c:pt idx="169">
                  <c:v>10.169486778630375</c:v>
                </c:pt>
                <c:pt idx="170">
                  <c:v>10.17643527836511</c:v>
                </c:pt>
                <c:pt idx="171">
                  <c:v>10.183272015931323</c:v>
                </c:pt>
                <c:pt idx="172">
                  <c:v>10.189998569619233</c:v>
                </c:pt>
                <c:pt idx="173">
                  <c:v>10.196617502676906</c:v>
                </c:pt>
                <c:pt idx="174">
                  <c:v>10.2031309717103</c:v>
                </c:pt>
                <c:pt idx="175">
                  <c:v>10.209540583024145</c:v>
                </c:pt>
                <c:pt idx="176">
                  <c:v>10.215848928012834</c:v>
                </c:pt>
                <c:pt idx="177">
                  <c:v>10.222058401186526</c:v>
                </c:pt>
                <c:pt idx="178">
                  <c:v>10.228170631901094</c:v>
                </c:pt>
                <c:pt idx="179">
                  <c:v>10.234188032897627</c:v>
                </c:pt>
                <c:pt idx="180">
                  <c:v>10.240112449777589</c:v>
                </c:pt>
                <c:pt idx="181">
                  <c:v>10.245945910004258</c:v>
                </c:pt>
                <c:pt idx="182">
                  <c:v>10.251689294878968</c:v>
                </c:pt>
                <c:pt idx="183">
                  <c:v>10.257345050873788</c:v>
                </c:pt>
                <c:pt idx="184">
                  <c:v>10.262914653996738</c:v>
                </c:pt>
                <c:pt idx="185">
                  <c:v>10.268400177029429</c:v>
                </c:pt>
                <c:pt idx="186">
                  <c:v>10.273803695920707</c:v>
                </c:pt>
                <c:pt idx="187">
                  <c:v>10.279125923836618</c:v>
                </c:pt>
                <c:pt idx="188">
                  <c:v>10.284368365991808</c:v>
                </c:pt>
                <c:pt idx="189">
                  <c:v>10.289533901610168</c:v>
                </c:pt>
                <c:pt idx="190">
                  <c:v>10.294621701921686</c:v>
                </c:pt>
                <c:pt idx="191">
                  <c:v>10.299636020862581</c:v>
                </c:pt>
                <c:pt idx="192">
                  <c:v>10.304576835707568</c:v>
                </c:pt>
                <c:pt idx="193">
                  <c:v>10.309445272639115</c:v>
                </c:pt>
                <c:pt idx="194">
                  <c:v>10.314243480600407</c:v>
                </c:pt>
                <c:pt idx="195">
                  <c:v>10.318972592576307</c:v>
                </c:pt>
                <c:pt idx="196">
                  <c:v>10.323633180238826</c:v>
                </c:pt>
                <c:pt idx="197">
                  <c:v>10.328227417560722</c:v>
                </c:pt>
                <c:pt idx="198">
                  <c:v>10.332755649097729</c:v>
                </c:pt>
                <c:pt idx="199">
                  <c:v>10.337221044309976</c:v>
                </c:pt>
                <c:pt idx="200">
                  <c:v>10.341622418776755</c:v>
                </c:pt>
                <c:pt idx="201">
                  <c:v>10.345961539802184</c:v>
                </c:pt>
                <c:pt idx="202">
                  <c:v>10.350240980932812</c:v>
                </c:pt>
                <c:pt idx="203">
                  <c:v>10.354459568125511</c:v>
                </c:pt>
                <c:pt idx="204">
                  <c:v>10.358621047976269</c:v>
                </c:pt>
                <c:pt idx="205">
                  <c:v>10.362723716788942</c:v>
                </c:pt>
                <c:pt idx="206">
                  <c:v>10.366770883178861</c:v>
                </c:pt>
                <c:pt idx="207">
                  <c:v>10.370762821272212</c:v>
                </c:pt>
                <c:pt idx="208">
                  <c:v>10.374700168917894</c:v>
                </c:pt>
                <c:pt idx="209">
                  <c:v>10.378584094707765</c:v>
                </c:pt>
                <c:pt idx="210">
                  <c:v>10.382415066051877</c:v>
                </c:pt>
                <c:pt idx="211">
                  <c:v>10.386194890753831</c:v>
                </c:pt>
                <c:pt idx="212">
                  <c:v>10.38992422163054</c:v>
                </c:pt>
                <c:pt idx="213">
                  <c:v>10.393602903630915</c:v>
                </c:pt>
                <c:pt idx="214">
                  <c:v>10.397233567690639</c:v>
                </c:pt>
                <c:pt idx="215">
                  <c:v>10.40081606531473</c:v>
                </c:pt>
                <c:pt idx="216">
                  <c:v>10.404351065196954</c:v>
                </c:pt>
                <c:pt idx="217">
                  <c:v>10.407840564670463</c:v>
                </c:pt>
                <c:pt idx="218">
                  <c:v>10.411283915803132</c:v>
                </c:pt>
                <c:pt idx="219">
                  <c:v>10.414682137040574</c:v>
                </c:pt>
                <c:pt idx="220">
                  <c:v>10.418037231755029</c:v>
                </c:pt>
                <c:pt idx="221">
                  <c:v>10.421347579742697</c:v>
                </c:pt>
                <c:pt idx="222">
                  <c:v>10.424616997626387</c:v>
                </c:pt>
                <c:pt idx="223">
                  <c:v>10.427843716754676</c:v>
                </c:pt>
                <c:pt idx="224">
                  <c:v>10.431028924400987</c:v>
                </c:pt>
                <c:pt idx="225">
                  <c:v>10.434174801488664</c:v>
                </c:pt>
                <c:pt idx="226">
                  <c:v>10.437279914572475</c:v>
                </c:pt>
                <c:pt idx="227">
                  <c:v>10.440346444913454</c:v>
                </c:pt>
                <c:pt idx="228">
                  <c:v>10.443374776545943</c:v>
                </c:pt>
                <c:pt idx="229">
                  <c:v>10.446364798234695</c:v>
                </c:pt>
                <c:pt idx="230">
                  <c:v>10.449317546956259</c:v>
                </c:pt>
                <c:pt idx="231">
                  <c:v>10.452233739690337</c:v>
                </c:pt>
                <c:pt idx="232">
                  <c:v>10.455113938702006</c:v>
                </c:pt>
                <c:pt idx="233">
                  <c:v>10.4579593453255</c:v>
                </c:pt>
                <c:pt idx="234">
                  <c:v>10.460769539649032</c:v>
                </c:pt>
                <c:pt idx="235">
                  <c:v>10.463545565993634</c:v>
                </c:pt>
                <c:pt idx="236">
                  <c:v>10.466287167299873</c:v>
                </c:pt>
                <c:pt idx="237">
                  <c:v>10.468995909961565</c:v>
                </c:pt>
                <c:pt idx="238">
                  <c:v>10.471671856124312</c:v>
                </c:pt>
                <c:pt idx="239">
                  <c:v>10.474316887949877</c:v>
                </c:pt>
                <c:pt idx="240">
                  <c:v>10.476928936775412</c:v>
                </c:pt>
                <c:pt idx="241">
                  <c:v>10.479510568695133</c:v>
                </c:pt>
                <c:pt idx="242">
                  <c:v>10.482060555935602</c:v>
                </c:pt>
                <c:pt idx="243">
                  <c:v>10.48458124652258</c:v>
                </c:pt>
                <c:pt idx="244">
                  <c:v>10.487072097637261</c:v>
                </c:pt>
                <c:pt idx="245">
                  <c:v>10.48953401523104</c:v>
                </c:pt>
                <c:pt idx="246">
                  <c:v>10.491966079225858</c:v>
                </c:pt>
                <c:pt idx="247">
                  <c:v>10.494371023290389</c:v>
                </c:pt>
                <c:pt idx="248">
                  <c:v>10.496747331723766</c:v>
                </c:pt>
                <c:pt idx="249">
                  <c:v>10.499096513261701</c:v>
                </c:pt>
              </c:numCache>
            </c:numRef>
          </c:yVal>
          <c:smooth val="1"/>
          <c:extLst>
            <c:ext xmlns:c16="http://schemas.microsoft.com/office/drawing/2014/chart" uri="{C3380CC4-5D6E-409C-BE32-E72D297353CC}">
              <c16:uniqueId val="{00000000-EE64-45F4-B94A-CF623E0F8286}"/>
            </c:ext>
          </c:extLst>
        </c:ser>
        <c:dLbls>
          <c:showLegendKey val="0"/>
          <c:showVal val="0"/>
          <c:showCatName val="0"/>
          <c:showSerName val="0"/>
          <c:showPercent val="0"/>
          <c:showBubbleSize val="0"/>
        </c:dLbls>
        <c:axId val="23132032"/>
        <c:axId val="23199744"/>
      </c:scatterChart>
      <c:valAx>
        <c:axId val="23132032"/>
        <c:scaling>
          <c:orientation val="minMax"/>
          <c:max val="50"/>
        </c:scaling>
        <c:delete val="0"/>
        <c:axPos val="b"/>
        <c:title>
          <c:tx>
            <c:rich>
              <a:bodyPr/>
              <a:lstStyle/>
              <a:p>
                <a:pPr>
                  <a:defRPr sz="1400" b="1">
                    <a:solidFill>
                      <a:srgbClr val="0E9ED9"/>
                    </a:solidFill>
                  </a:defRPr>
                </a:pPr>
                <a:r>
                  <a:rPr lang="en-US" sz="1400" b="1">
                    <a:solidFill>
                      <a:srgbClr val="0E9ED9"/>
                    </a:solidFill>
                  </a:rPr>
                  <a:t>Harmonic Number</a:t>
                </a:r>
                <a:r>
                  <a:rPr lang="en-US" sz="1400" b="1" baseline="0">
                    <a:solidFill>
                      <a:srgbClr val="0E9ED9"/>
                    </a:solidFill>
                  </a:rPr>
                  <a:t> (n)</a:t>
                </a:r>
                <a:endParaRPr lang="en-US" sz="1400" b="1">
                  <a:solidFill>
                    <a:srgbClr val="0E9ED9"/>
                  </a:solidFill>
                </a:endParaRPr>
              </a:p>
            </c:rich>
          </c:tx>
          <c:overlay val="0"/>
        </c:title>
        <c:numFmt formatCode="General" sourceLinked="1"/>
        <c:majorTickMark val="cross"/>
        <c:minorTickMark val="cross"/>
        <c:tickLblPos val="nextTo"/>
        <c:txPr>
          <a:bodyPr/>
          <a:lstStyle/>
          <a:p>
            <a:pPr>
              <a:defRPr b="1">
                <a:solidFill>
                  <a:srgbClr val="C00000"/>
                </a:solidFill>
              </a:defRPr>
            </a:pPr>
            <a:endParaRPr lang="en-US"/>
          </a:p>
        </c:txPr>
        <c:crossAx val="23199744"/>
        <c:crosses val="autoZero"/>
        <c:crossBetween val="midCat"/>
        <c:majorUnit val="5"/>
        <c:minorUnit val="1"/>
      </c:valAx>
      <c:valAx>
        <c:axId val="23199744"/>
        <c:scaling>
          <c:orientation val="minMax"/>
        </c:scaling>
        <c:delete val="0"/>
        <c:axPos val="l"/>
        <c:majorGridlines>
          <c:spPr>
            <a:ln>
              <a:solidFill>
                <a:srgbClr val="C00000"/>
              </a:solidFill>
            </a:ln>
          </c:spPr>
        </c:majorGridlines>
        <c:title>
          <c:tx>
            <c:rich>
              <a:bodyPr rot="-5400000" vert="horz"/>
              <a:lstStyle/>
              <a:p>
                <a:pPr>
                  <a:defRPr sz="1400" b="1">
                    <a:solidFill>
                      <a:srgbClr val="0E9ED9"/>
                    </a:solidFill>
                  </a:defRPr>
                </a:pPr>
                <a:r>
                  <a:rPr lang="en-US" sz="1400" b="1">
                    <a:solidFill>
                      <a:srgbClr val="0E9ED9"/>
                    </a:solidFill>
                  </a:rPr>
                  <a:t>Impedance (ohms)</a:t>
                </a:r>
              </a:p>
            </c:rich>
          </c:tx>
          <c:overlay val="0"/>
        </c:title>
        <c:numFmt formatCode="General" sourceLinked="1"/>
        <c:majorTickMark val="out"/>
        <c:minorTickMark val="none"/>
        <c:tickLblPos val="nextTo"/>
        <c:txPr>
          <a:bodyPr/>
          <a:lstStyle/>
          <a:p>
            <a:pPr>
              <a:defRPr b="1">
                <a:solidFill>
                  <a:srgbClr val="C00000"/>
                </a:solidFill>
              </a:defRPr>
            </a:pPr>
            <a:endParaRPr lang="en-US"/>
          </a:p>
        </c:txPr>
        <c:crossAx val="23132032"/>
        <c:crosses val="autoZero"/>
        <c:crossBetween val="midCat"/>
      </c:valAx>
      <c:spPr>
        <a:solidFill>
          <a:schemeClr val="bg1"/>
        </a:solidFill>
      </c:spPr>
    </c:plotArea>
    <c:plotVisOnly val="0"/>
    <c:dispBlanksAs val="gap"/>
    <c:showDLblsOverMax val="0"/>
  </c:chart>
  <c:spPr>
    <a:ln w="19050">
      <a:solidFill>
        <a:srgbClr val="C00000"/>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E9ED9"/>
                </a:solidFill>
                <a:latin typeface="+mn-lt"/>
                <a:ea typeface="+mn-ea"/>
                <a:cs typeface="+mn-cs"/>
              </a:defRPr>
            </a:pPr>
            <a:r>
              <a:rPr lang="en-US" b="1">
                <a:solidFill>
                  <a:srgbClr val="0E9ED9"/>
                </a:solidFill>
              </a:rPr>
              <a:t>Tuning</a:t>
            </a:r>
            <a:r>
              <a:rPr lang="en-US" b="1" baseline="0">
                <a:solidFill>
                  <a:srgbClr val="0E9ED9"/>
                </a:solidFill>
              </a:rPr>
              <a:t> Reactor </a:t>
            </a:r>
            <a:r>
              <a:rPr lang="en-US" b="1">
                <a:solidFill>
                  <a:srgbClr val="0E9ED9"/>
                </a:solidFill>
              </a:rPr>
              <a:t>Harmonic</a:t>
            </a:r>
            <a:r>
              <a:rPr lang="en-US" b="1" baseline="0">
                <a:solidFill>
                  <a:srgbClr val="0E9ED9"/>
                </a:solidFill>
              </a:rPr>
              <a:t> Current Comparison </a:t>
            </a:r>
            <a:endParaRPr lang="en-US" b="1">
              <a:solidFill>
                <a:srgbClr val="0E9ED9"/>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E9ED9"/>
              </a:solidFill>
              <a:latin typeface="+mn-lt"/>
              <a:ea typeface="+mn-ea"/>
              <a:cs typeface="+mn-cs"/>
            </a:defRPr>
          </a:pPr>
          <a:endParaRPr lang="en-US"/>
        </a:p>
      </c:txPr>
    </c:title>
    <c:autoTitleDeleted val="0"/>
    <c:plotArea>
      <c:layout/>
      <c:barChart>
        <c:barDir val="col"/>
        <c:grouping val="clustered"/>
        <c:varyColors val="0"/>
        <c:ser>
          <c:idx val="2"/>
          <c:order val="2"/>
          <c:tx>
            <c:strRef>
              <c:f>'C-HP Filter Design'!$CO$56</c:f>
              <c:strCache>
                <c:ptCount val="1"/>
                <c:pt idx="0">
                  <c:v>(In) Filter Current</c:v>
                </c:pt>
              </c:strCache>
            </c:strRef>
          </c:tx>
          <c:spPr>
            <a:solidFill>
              <a:srgbClr val="B8E7FA"/>
            </a:solidFill>
            <a:ln>
              <a:noFill/>
            </a:ln>
            <a:effectLst/>
          </c:spPr>
          <c:invertIfNegative val="0"/>
          <c:cat>
            <c:numRef>
              <c:extLst>
                <c:ext xmlns:c15="http://schemas.microsoft.com/office/drawing/2012/chart" uri="{02D57815-91ED-43cb-92C2-25804820EDAC}">
                  <c15:fullRef>
                    <c15:sqref>'C-HP Filter Design'!$CL$57:$CL$75</c15:sqref>
                  </c15:fullRef>
                </c:ext>
              </c:extLst>
              <c:f>'C-HP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Design'!$CO$57:$CO$75</c15:sqref>
                  </c15:fullRef>
                </c:ext>
              </c:extLst>
              <c:f>'C-HP Filter Design'!$CO$60:$CO$75</c:f>
              <c:numCache>
                <c:formatCode>General</c:formatCode>
                <c:ptCount val="16"/>
                <c:pt idx="0" formatCode="0">
                  <c:v>278.12414534767834</c:v>
                </c:pt>
                <c:pt idx="1" formatCode="0">
                  <c:v>0</c:v>
                </c:pt>
                <c:pt idx="2" formatCode="0">
                  <c:v>0</c:v>
                </c:pt>
                <c:pt idx="3" formatCode="0">
                  <c:v>0</c:v>
                </c:pt>
                <c:pt idx="4" formatCode="0">
                  <c:v>100</c:v>
                </c:pt>
                <c:pt idx="5" formatCode="0">
                  <c:v>80</c:v>
                </c:pt>
                <c:pt idx="6" formatCode="0">
                  <c:v>60</c:v>
                </c:pt>
                <c:pt idx="7" formatCode="0">
                  <c:v>30</c:v>
                </c:pt>
                <c:pt idx="8" formatCode="0">
                  <c:v>20</c:v>
                </c:pt>
                <c:pt idx="9" formatCode="0">
                  <c:v>10</c:v>
                </c:pt>
                <c:pt idx="10" formatCode="0">
                  <c:v>10</c:v>
                </c:pt>
                <c:pt idx="11" formatCode="0">
                  <c:v>10</c:v>
                </c:pt>
                <c:pt idx="12" formatCode="0">
                  <c:v>0</c:v>
                </c:pt>
                <c:pt idx="13" formatCode="0">
                  <c:v>0</c:v>
                </c:pt>
                <c:pt idx="14" formatCode="0">
                  <c:v>10</c:v>
                </c:pt>
                <c:pt idx="15" formatCode="0">
                  <c:v>10</c:v>
                </c:pt>
              </c:numCache>
            </c:numRef>
          </c:val>
          <c:extLst>
            <c:ext xmlns:c16="http://schemas.microsoft.com/office/drawing/2014/chart" uri="{C3380CC4-5D6E-409C-BE32-E72D297353CC}">
              <c16:uniqueId val="{00000000-229A-4CC9-A005-0E9C85630928}"/>
            </c:ext>
          </c:extLst>
        </c:ser>
        <c:ser>
          <c:idx val="5"/>
          <c:order val="5"/>
          <c:tx>
            <c:strRef>
              <c:f>'C-HP Filter Design'!$CR$56</c:f>
              <c:strCache>
                <c:ptCount val="1"/>
                <c:pt idx="0">
                  <c:v>Calculated Reactor Current</c:v>
                </c:pt>
              </c:strCache>
            </c:strRef>
          </c:tx>
          <c:spPr>
            <a:solidFill>
              <a:srgbClr val="0E9ED9"/>
            </a:solidFill>
            <a:ln>
              <a:noFill/>
            </a:ln>
            <a:effectLst/>
          </c:spPr>
          <c:invertIfNegative val="0"/>
          <c:cat>
            <c:numRef>
              <c:extLst>
                <c:ext xmlns:c15="http://schemas.microsoft.com/office/drawing/2012/chart" uri="{02D57815-91ED-43cb-92C2-25804820EDAC}">
                  <c15:fullRef>
                    <c15:sqref>'C-HP Filter Design'!$CL$57:$CL$75</c15:sqref>
                  </c15:fullRef>
                </c:ext>
              </c:extLst>
              <c:f>'C-HP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Design'!$CR$57:$CR$75</c15:sqref>
                  </c15:fullRef>
                </c:ext>
              </c:extLst>
              <c:f>'C-HP Filter Design'!$CR$60:$CR$75</c:f>
              <c:numCache>
                <c:formatCode>General</c:formatCode>
                <c:ptCount val="16"/>
                <c:pt idx="0" formatCode="0">
                  <c:v>278.12414534767834</c:v>
                </c:pt>
                <c:pt idx="1" formatCode="0">
                  <c:v>0</c:v>
                </c:pt>
                <c:pt idx="2" formatCode="0">
                  <c:v>0</c:v>
                </c:pt>
                <c:pt idx="3" formatCode="0">
                  <c:v>0</c:v>
                </c:pt>
                <c:pt idx="4" formatCode="0">
                  <c:v>90.152305746827381</c:v>
                </c:pt>
                <c:pt idx="5" formatCode="0">
                  <c:v>65.978308147678234</c:v>
                </c:pt>
                <c:pt idx="6" formatCode="0">
                  <c:v>40.543477711040772</c:v>
                </c:pt>
                <c:pt idx="7" formatCode="0">
                  <c:v>18.359498403628404</c:v>
                </c:pt>
                <c:pt idx="8" formatCode="0">
                  <c:v>10.166525905621061</c:v>
                </c:pt>
                <c:pt idx="9" formatCode="0">
                  <c:v>4.6675861955812286</c:v>
                </c:pt>
                <c:pt idx="10" formatCode="0">
                  <c:v>3.9936092989388388</c:v>
                </c:pt>
                <c:pt idx="11" formatCode="0">
                  <c:v>3.7190359014144887</c:v>
                </c:pt>
                <c:pt idx="12" formatCode="0">
                  <c:v>0</c:v>
                </c:pt>
                <c:pt idx="13" formatCode="0">
                  <c:v>0</c:v>
                </c:pt>
                <c:pt idx="14" formatCode="0">
                  <c:v>2.7492861479495123</c:v>
                </c:pt>
                <c:pt idx="15" formatCode="0">
                  <c:v>2.6108675166147504</c:v>
                </c:pt>
              </c:numCache>
            </c:numRef>
          </c:val>
          <c:extLst>
            <c:ext xmlns:c16="http://schemas.microsoft.com/office/drawing/2014/chart" uri="{C3380CC4-5D6E-409C-BE32-E72D297353CC}">
              <c16:uniqueId val="{00000001-229A-4CC9-A005-0E9C85630928}"/>
            </c:ext>
          </c:extLst>
        </c:ser>
        <c:ser>
          <c:idx val="9"/>
          <c:order val="9"/>
          <c:tx>
            <c:strRef>
              <c:f>'C-HP Filter Design'!$CV$56</c:f>
              <c:strCache>
                <c:ptCount val="1"/>
                <c:pt idx="0">
                  <c:v>VarStec Reactor Rating</c:v>
                </c:pt>
              </c:strCache>
            </c:strRef>
          </c:tx>
          <c:spPr>
            <a:solidFill>
              <a:srgbClr val="FF0066"/>
            </a:solidFill>
            <a:ln>
              <a:noFill/>
            </a:ln>
            <a:effectLst/>
          </c:spPr>
          <c:invertIfNegative val="0"/>
          <c:cat>
            <c:numRef>
              <c:extLst>
                <c:ext xmlns:c15="http://schemas.microsoft.com/office/drawing/2012/chart" uri="{02D57815-91ED-43cb-92C2-25804820EDAC}">
                  <c15:fullRef>
                    <c15:sqref>'C-HP Filter Design'!$CL$57:$CL$75</c15:sqref>
                  </c15:fullRef>
                </c:ext>
              </c:extLst>
              <c:f>'C-HP Filter Design'!$CL$60:$CL$75</c:f>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Design'!$CV$57:$CV$75</c15:sqref>
                  </c15:fullRef>
                </c:ext>
              </c:extLst>
              <c:f>'C-HP Filter Design'!$CV$60:$CV$75</c:f>
              <c:numCache>
                <c:formatCode>General</c:formatCode>
                <c:ptCount val="16"/>
                <c:pt idx="0" formatCode="0">
                  <c:v>417.1862180215175</c:v>
                </c:pt>
                <c:pt idx="1" formatCode="0">
                  <c:v>0</c:v>
                </c:pt>
                <c:pt idx="2" formatCode="0">
                  <c:v>0</c:v>
                </c:pt>
                <c:pt idx="3" formatCode="0">
                  <c:v>0</c:v>
                </c:pt>
                <c:pt idx="4" formatCode="0">
                  <c:v>135.22845862024107</c:v>
                </c:pt>
                <c:pt idx="5" formatCode="0">
                  <c:v>98.967462221517351</c:v>
                </c:pt>
                <c:pt idx="6" formatCode="0">
                  <c:v>60.815216566561162</c:v>
                </c:pt>
                <c:pt idx="7" formatCode="0">
                  <c:v>27.539247605442604</c:v>
                </c:pt>
                <c:pt idx="8" formatCode="0">
                  <c:v>15.249788858431591</c:v>
                </c:pt>
                <c:pt idx="9" formatCode="0">
                  <c:v>7.0013792933718424</c:v>
                </c:pt>
                <c:pt idx="10" formatCode="0">
                  <c:v>5.9904139484082579</c:v>
                </c:pt>
                <c:pt idx="11" formatCode="0">
                  <c:v>5.5785538521217326</c:v>
                </c:pt>
                <c:pt idx="12" formatCode="0">
                  <c:v>0</c:v>
                </c:pt>
                <c:pt idx="13" formatCode="0">
                  <c:v>0</c:v>
                </c:pt>
                <c:pt idx="14" formatCode="0">
                  <c:v>4.1239292219242687</c:v>
                </c:pt>
                <c:pt idx="15" formatCode="0">
                  <c:v>3.9163012749221258</c:v>
                </c:pt>
              </c:numCache>
            </c:numRef>
          </c:val>
          <c:extLst>
            <c:ext xmlns:c16="http://schemas.microsoft.com/office/drawing/2014/chart" uri="{C3380CC4-5D6E-409C-BE32-E72D297353CC}">
              <c16:uniqueId val="{00000002-229A-4CC9-A005-0E9C85630928}"/>
            </c:ext>
          </c:extLst>
        </c:ser>
        <c:dLbls>
          <c:showLegendKey val="0"/>
          <c:showVal val="0"/>
          <c:showCatName val="0"/>
          <c:showSerName val="0"/>
          <c:showPercent val="0"/>
          <c:showBubbleSize val="0"/>
        </c:dLbls>
        <c:gapWidth val="219"/>
        <c:overlap val="-27"/>
        <c:axId val="320270991"/>
        <c:axId val="320271951"/>
        <c:extLst>
          <c:ext xmlns:c15="http://schemas.microsoft.com/office/drawing/2012/chart" uri="{02D57815-91ED-43cb-92C2-25804820EDAC}">
            <c15:filteredBarSeries>
              <c15:ser>
                <c:idx val="0"/>
                <c:order val="0"/>
                <c:tx>
                  <c:strRef>
                    <c:extLst>
                      <c:ext uri="{02D57815-91ED-43cb-92C2-25804820EDAC}">
                        <c15:formulaRef>
                          <c15:sqref>'C-HP Filter Design'!$CM$56</c15:sqref>
                        </c15:formulaRef>
                      </c:ext>
                    </c:extLst>
                    <c:strCache>
                      <c:ptCount val="1"/>
                    </c:strCache>
                  </c:strRef>
                </c:tx>
                <c:spPr>
                  <a:solidFill>
                    <a:schemeClr val="accent1"/>
                  </a:solidFill>
                  <a:ln>
                    <a:noFill/>
                  </a:ln>
                  <a:effectLst/>
                </c:spPr>
                <c:invertIfNegative val="0"/>
                <c:cat>
                  <c:numRef>
                    <c:extLst>
                      <c:ex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uri="{02D57815-91ED-43cb-92C2-25804820EDAC}">
                        <c15:fullRef>
                          <c15:sqref>'C-HP Filter Design'!$CM$57:$CM$75</c15:sqref>
                        </c15:fullRef>
                        <c15:formulaRef>
                          <c15:sqref>'C-HP Filter Design'!$CM$60:$CM$75</c15:sqref>
                        </c15:formulaRef>
                      </c:ext>
                    </c:extLst>
                    <c:numCache>
                      <c:formatCode>General</c:formatCode>
                      <c:ptCount val="16"/>
                    </c:numCache>
                  </c:numRef>
                </c:val>
                <c:extLst>
                  <c:ext xmlns:c16="http://schemas.microsoft.com/office/drawing/2014/chart" uri="{C3380CC4-5D6E-409C-BE32-E72D297353CC}">
                    <c16:uniqueId val="{00000003-229A-4CC9-A005-0E9C8563092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'C-HP Filter Design'!$CN$56</c15:sqref>
                        </c15:formulaRef>
                      </c:ext>
                    </c:extLst>
                    <c:strCache>
                      <c:ptCount val="1"/>
                    </c:strCache>
                  </c:strRef>
                </c:tx>
                <c:spPr>
                  <a:solidFill>
                    <a:schemeClr val="accent2"/>
                  </a:solidFill>
                  <a:ln>
                    <a:noFill/>
                  </a:ln>
                  <a:effectLst/>
                </c:spPr>
                <c:invertIfNegative val="0"/>
                <c:cat>
                  <c:numRef>
                    <c:extLst>
                      <c:ext xmlns:c15="http://schemas.microsoft.com/office/drawing/2012/char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Design'!$CN$57:$CN$75</c15:sqref>
                        </c15:fullRef>
                        <c15:formulaRef>
                          <c15:sqref>'C-HP Filter Design'!$CN$60:$CN$75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4-229A-4CC9-A005-0E9C8563092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'C-HP Filter Design'!$CP$56</c15:sqref>
                        </c15:formulaRef>
                      </c:ext>
                    </c:extLst>
                    <c:strCache>
                      <c:ptCount val="1"/>
                    </c:strCache>
                  </c:strRef>
                </c:tx>
                <c:spPr>
                  <a:solidFill>
                    <a:schemeClr val="accent4"/>
                  </a:solidFill>
                  <a:ln>
                    <a:noFill/>
                  </a:ln>
                  <a:effectLst/>
                </c:spPr>
                <c:invertIfNegative val="0"/>
                <c:cat>
                  <c:numRef>
                    <c:extLst>
                      <c:ext xmlns:c15="http://schemas.microsoft.com/office/drawing/2012/char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Design'!$CP$57:$CP$75</c15:sqref>
                        </c15:fullRef>
                        <c15:formulaRef>
                          <c15:sqref>'C-HP Filter Design'!$CP$60:$CP$75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5-229A-4CC9-A005-0E9C85630928}"/>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'C-HP Filter Design'!$CQ$56</c15:sqref>
                        </c15:formulaRef>
                      </c:ext>
                    </c:extLst>
                    <c:strCache>
                      <c:ptCount val="1"/>
                    </c:strCache>
                  </c:strRef>
                </c:tx>
                <c:spPr>
                  <a:solidFill>
                    <a:schemeClr val="accent5"/>
                  </a:solidFill>
                  <a:ln>
                    <a:noFill/>
                  </a:ln>
                  <a:effectLst/>
                </c:spPr>
                <c:invertIfNegative val="0"/>
                <c:cat>
                  <c:numRef>
                    <c:extLst>
                      <c:ext xmlns:c15="http://schemas.microsoft.com/office/drawing/2012/char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Design'!$CQ$57:$CQ$75</c15:sqref>
                        </c15:fullRef>
                        <c15:formulaRef>
                          <c15:sqref>'C-HP Filter Design'!$CQ$60:$CQ$75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6-229A-4CC9-A005-0E9C85630928}"/>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'C-HP Filter Design'!$CS$56</c15:sqref>
                        </c15:formulaRef>
                      </c:ext>
                    </c:extLst>
                    <c:strCache>
                      <c:ptCount val="1"/>
                    </c:strCache>
                  </c:strRef>
                </c:tx>
                <c:spPr>
                  <a:solidFill>
                    <a:schemeClr val="accent1">
                      <a:lumMod val="60000"/>
                    </a:schemeClr>
                  </a:solidFill>
                  <a:ln>
                    <a:noFill/>
                  </a:ln>
                  <a:effectLst/>
                </c:spPr>
                <c:invertIfNegative val="0"/>
                <c:cat>
                  <c:numRef>
                    <c:extLst>
                      <c:ext xmlns:c15="http://schemas.microsoft.com/office/drawing/2012/char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Design'!$CS$57:$CS$75</c15:sqref>
                        </c15:fullRef>
                        <c15:formulaRef>
                          <c15:sqref>'C-HP Filter Design'!$CS$60:$CS$75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7-229A-4CC9-A005-0E9C85630928}"/>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'C-HP Filter Design'!$CT$56</c15:sqref>
                        </c15:formulaRef>
                      </c:ext>
                    </c:extLst>
                    <c:strCache>
                      <c:ptCount val="1"/>
                    </c:strCache>
                  </c:strRef>
                </c:tx>
                <c:spPr>
                  <a:solidFill>
                    <a:schemeClr val="accent2">
                      <a:lumMod val="60000"/>
                    </a:schemeClr>
                  </a:solidFill>
                  <a:ln>
                    <a:noFill/>
                  </a:ln>
                  <a:effectLst/>
                </c:spPr>
                <c:invertIfNegative val="0"/>
                <c:cat>
                  <c:numRef>
                    <c:extLst>
                      <c:ext xmlns:c15="http://schemas.microsoft.com/office/drawing/2012/char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Design'!$CT$57:$CT$75</c15:sqref>
                        </c15:fullRef>
                        <c15:formulaRef>
                          <c15:sqref>'C-HP Filter Design'!$CT$60:$CT$75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8-229A-4CC9-A005-0E9C85630928}"/>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'C-HP Filter Design'!$CU$56</c15:sqref>
                        </c15:formulaRef>
                      </c:ext>
                    </c:extLst>
                    <c:strCache>
                      <c:ptCount val="1"/>
                    </c:strCache>
                  </c:strRef>
                </c:tx>
                <c:spPr>
                  <a:solidFill>
                    <a:schemeClr val="accent3">
                      <a:lumMod val="60000"/>
                    </a:schemeClr>
                  </a:solidFill>
                  <a:ln>
                    <a:noFill/>
                  </a:ln>
                  <a:effectLst/>
                </c:spPr>
                <c:invertIfNegative val="0"/>
                <c:cat>
                  <c:numRef>
                    <c:extLst>
                      <c:ext xmlns:c15="http://schemas.microsoft.com/office/drawing/2012/char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Design'!$CU$57:$CU$75</c15:sqref>
                        </c15:fullRef>
                        <c15:formulaRef>
                          <c15:sqref>'C-HP Filter Design'!$CU$60:$CU$75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9-229A-4CC9-A005-0E9C85630928}"/>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'C-HP Filter Design'!$CW$56</c15:sqref>
                        </c15:formulaRef>
                      </c:ext>
                    </c:extLst>
                    <c:strCache>
                      <c:ptCount val="1"/>
                    </c:strCache>
                  </c:strRef>
                </c:tx>
                <c:spPr>
                  <a:solidFill>
                    <a:schemeClr val="accent5">
                      <a:lumMod val="60000"/>
                    </a:schemeClr>
                  </a:solidFill>
                  <a:ln>
                    <a:noFill/>
                  </a:ln>
                  <a:effectLst/>
                </c:spPr>
                <c:invertIfNegative val="0"/>
                <c:cat>
                  <c:numRef>
                    <c:extLst>
                      <c:ext xmlns:c15="http://schemas.microsoft.com/office/drawing/2012/char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Design'!$CW$57:$CW$75</c15:sqref>
                        </c15:fullRef>
                        <c15:formulaRef>
                          <c15:sqref>'C-HP Filter Design'!$CW$60:$CW$75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A-229A-4CC9-A005-0E9C85630928}"/>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'C-HP Filter Design'!$CX$56</c15:sqref>
                        </c15:formulaRef>
                      </c:ext>
                    </c:extLst>
                    <c:strCache>
                      <c:ptCount val="1"/>
                    </c:strCache>
                  </c:strRef>
                </c:tx>
                <c:spPr>
                  <a:solidFill>
                    <a:schemeClr val="accent6">
                      <a:lumMod val="60000"/>
                    </a:schemeClr>
                  </a:solidFill>
                  <a:ln>
                    <a:noFill/>
                  </a:ln>
                  <a:effectLst/>
                </c:spPr>
                <c:invertIfNegative val="0"/>
                <c:cat>
                  <c:numRef>
                    <c:extLst>
                      <c:ext xmlns:c15="http://schemas.microsoft.com/office/drawing/2012/chart" uri="{02D57815-91ED-43cb-92C2-25804820EDAC}">
                        <c15:fullRef>
                          <c15:sqref>'C-HP Filter Design'!$CL$57:$CL$75</c15:sqref>
                        </c15:fullRef>
                        <c15:formulaRef>
                          <c15:sqref>'C-HP Filter Design'!$CL$60:$CL$75</c15:sqref>
                        </c15:formulaRef>
                      </c:ext>
                    </c:extLst>
                    <c:numCache>
                      <c:formatCode>General</c:formatCode>
                      <c:ptCount val="16"/>
                      <c:pt idx="0" formatCode="0">
                        <c:v>1</c:v>
                      </c:pt>
                      <c:pt idx="1" formatCode="0">
                        <c:v>2</c:v>
                      </c:pt>
                      <c:pt idx="2" formatCode="0">
                        <c:v>3</c:v>
                      </c:pt>
                      <c:pt idx="3" formatCode="0">
                        <c:v>4</c:v>
                      </c:pt>
                      <c:pt idx="4" formatCode="0">
                        <c:v>5</c:v>
                      </c:pt>
                      <c:pt idx="5" formatCode="0">
                        <c:v>7</c:v>
                      </c:pt>
                      <c:pt idx="6" formatCode="0">
                        <c:v>11</c:v>
                      </c:pt>
                      <c:pt idx="7" formatCode="0">
                        <c:v>13</c:v>
                      </c:pt>
                      <c:pt idx="8" formatCode="0">
                        <c:v>17</c:v>
                      </c:pt>
                      <c:pt idx="9" formatCode="0">
                        <c:v>19</c:v>
                      </c:pt>
                      <c:pt idx="10" formatCode="0">
                        <c:v>23</c:v>
                      </c:pt>
                      <c:pt idx="11" formatCode="0">
                        <c:v>25</c:v>
                      </c:pt>
                      <c:pt idx="12" formatCode="0">
                        <c:v>29</c:v>
                      </c:pt>
                      <c:pt idx="13" formatCode="0">
                        <c:v>31</c:v>
                      </c:pt>
                      <c:pt idx="14" formatCode="0">
                        <c:v>35</c:v>
                      </c:pt>
                      <c:pt idx="15" formatCode="0">
                        <c:v>37</c:v>
                      </c:pt>
                    </c:numCache>
                  </c:numRef>
                </c:cat>
                <c:val>
                  <c:numRef>
                    <c:extLst>
                      <c:ext xmlns:c15="http://schemas.microsoft.com/office/drawing/2012/chart" uri="{02D57815-91ED-43cb-92C2-25804820EDAC}">
                        <c15:fullRef>
                          <c15:sqref>'C-HP Filter Design'!$CX$57:$CX$75</c15:sqref>
                        </c15:fullRef>
                        <c15:formulaRef>
                          <c15:sqref>'C-HP Filter Design'!$CX$60:$CX$75</c15:sqref>
                        </c15:formulaRef>
                      </c:ext>
                    </c:extLst>
                    <c:numCache>
                      <c:formatCode>General</c:formatCode>
                      <c:ptCount val="16"/>
                    </c:numCache>
                  </c:numRef>
                </c:val>
                <c:extLst xmlns:c15="http://schemas.microsoft.com/office/drawing/2012/chart">
                  <c:ext xmlns:c16="http://schemas.microsoft.com/office/drawing/2014/chart" uri="{C3380CC4-5D6E-409C-BE32-E72D297353CC}">
                    <c16:uniqueId val="{0000000B-229A-4CC9-A005-0E9C85630928}"/>
                  </c:ext>
                </c:extLst>
              </c15:ser>
            </c15:filteredBarSeries>
          </c:ext>
        </c:extLst>
      </c:barChart>
      <c:catAx>
        <c:axId val="320270991"/>
        <c:scaling>
          <c:orientation val="minMax"/>
        </c:scaling>
        <c:delete val="0"/>
        <c:axPos val="b"/>
        <c:title>
          <c:tx>
            <c:rich>
              <a:bodyPr rot="0" spcFirstLastPara="1" vertOverflow="ellipsis" vert="horz" wrap="square" anchor="ctr" anchorCtr="1"/>
              <a:lstStyle/>
              <a:p>
                <a:pPr>
                  <a:defRPr sz="1400" b="0" i="0" u="none" strike="noStrike" kern="1200" baseline="0">
                    <a:solidFill>
                      <a:srgbClr val="0E9ED9"/>
                    </a:solidFill>
                    <a:latin typeface="+mn-lt"/>
                    <a:ea typeface="+mn-ea"/>
                    <a:cs typeface="+mn-cs"/>
                  </a:defRPr>
                </a:pPr>
                <a:r>
                  <a:rPr lang="en-US" sz="1400">
                    <a:solidFill>
                      <a:srgbClr val="0E9ED9"/>
                    </a:solidFill>
                  </a:rPr>
                  <a:t>Harmonic Number (n)</a:t>
                </a:r>
              </a:p>
            </c:rich>
          </c:tx>
          <c:overlay val="0"/>
          <c:spPr>
            <a:noFill/>
            <a:ln>
              <a:noFill/>
            </a:ln>
            <a:effectLst/>
          </c:spPr>
          <c:txPr>
            <a:bodyPr rot="0" spcFirstLastPara="1" vertOverflow="ellipsis" vert="horz" wrap="square" anchor="ctr" anchorCtr="1"/>
            <a:lstStyle/>
            <a:p>
              <a:pPr>
                <a:defRPr sz="1400" b="0" i="0" u="none" strike="noStrike" kern="1200" baseline="0">
                  <a:solidFill>
                    <a:srgbClr val="0E9ED9"/>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C00000"/>
                </a:solidFill>
                <a:latin typeface="+mn-lt"/>
                <a:ea typeface="+mn-ea"/>
                <a:cs typeface="+mn-cs"/>
              </a:defRPr>
            </a:pPr>
            <a:endParaRPr lang="en-US"/>
          </a:p>
        </c:txPr>
        <c:crossAx val="320271951"/>
        <c:crosses val="autoZero"/>
        <c:auto val="1"/>
        <c:lblAlgn val="ctr"/>
        <c:lblOffset val="100"/>
        <c:noMultiLvlLbl val="0"/>
      </c:catAx>
      <c:valAx>
        <c:axId val="320271951"/>
        <c:scaling>
          <c:orientation val="minMax"/>
        </c:scaling>
        <c:delete val="0"/>
        <c:axPos val="l"/>
        <c:majorGridlines>
          <c:spPr>
            <a:ln w="9525" cap="flat" cmpd="sng" algn="ctr">
              <a:solidFill>
                <a:srgbClr val="C00000"/>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solidFill>
                      <a:srgbClr val="0E9ED9"/>
                    </a:solidFill>
                  </a:rPr>
                  <a:t>amps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rgbClr val="C00000"/>
                </a:solidFill>
                <a:latin typeface="+mn-lt"/>
                <a:ea typeface="+mn-ea"/>
                <a:cs typeface="+mn-cs"/>
              </a:defRPr>
            </a:pPr>
            <a:endParaRPr lang="en-US"/>
          </a:p>
        </c:txPr>
        <c:crossAx val="320270991"/>
        <c:crosses val="autoZero"/>
        <c:crossBetween val="between"/>
      </c:valAx>
      <c:spPr>
        <a:noFill/>
        <a:ln>
          <a:solidFill>
            <a:srgbClr val="C00000"/>
          </a:solid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19050" cap="flat" cmpd="sng" algn="ctr">
      <a:solidFill>
        <a:srgbClr val="C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8" Type="http://schemas.openxmlformats.org/officeDocument/2006/relationships/image" Target="../media/image12.svg"/><Relationship Id="rId3" Type="http://schemas.openxmlformats.org/officeDocument/2006/relationships/chart" Target="../charts/chart1.xml"/><Relationship Id="rId7"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2.xml"/><Relationship Id="rId5" Type="http://schemas.openxmlformats.org/officeDocument/2006/relationships/image" Target="../media/image10.pn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4.svg"/><Relationship Id="rId3" Type="http://schemas.openxmlformats.org/officeDocument/2006/relationships/chart" Target="../charts/chart3.xml"/><Relationship Id="rId7" Type="http://schemas.openxmlformats.org/officeDocument/2006/relationships/image" Target="../media/image1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xml"/><Relationship Id="rId5" Type="http://schemas.openxmlformats.org/officeDocument/2006/relationships/image" Target="../media/image10.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svg"/><Relationship Id="rId3" Type="http://schemas.openxmlformats.org/officeDocument/2006/relationships/image" Target="../media/image2.png"/><Relationship Id="rId7" Type="http://schemas.openxmlformats.org/officeDocument/2006/relationships/image" Target="../media/image15.png"/><Relationship Id="rId2" Type="http://schemas.openxmlformats.org/officeDocument/2006/relationships/image" Target="../media/image1.png"/><Relationship Id="rId1" Type="http://schemas.openxmlformats.org/officeDocument/2006/relationships/chart" Target="../charts/chart5.xml"/><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12.svg"/><Relationship Id="rId2" Type="http://schemas.openxmlformats.org/officeDocument/2006/relationships/image" Target="../media/image11.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4.svg"/><Relationship Id="rId2" Type="http://schemas.openxmlformats.org/officeDocument/2006/relationships/image" Target="../media/image1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6.svg"/><Relationship Id="rId2" Type="http://schemas.openxmlformats.org/officeDocument/2006/relationships/image" Target="../media/image1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408AEDC7-AA11-4968-809F-6E23CF61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D0814AC7-A38E-448A-A7F5-C0D54D2CCB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twoCellAnchor>
    <xdr:from>
      <xdr:col>1</xdr:col>
      <xdr:colOff>115421</xdr:colOff>
      <xdr:row>9</xdr:row>
      <xdr:rowOff>56026</xdr:rowOff>
    </xdr:from>
    <xdr:to>
      <xdr:col>41</xdr:col>
      <xdr:colOff>3361</xdr:colOff>
      <xdr:row>45</xdr:row>
      <xdr:rowOff>78440</xdr:rowOff>
    </xdr:to>
    <xdr:sp macro="" textlink="">
      <xdr:nvSpPr>
        <xdr:cNvPr id="10" name="TextBox 9">
          <a:extLst>
            <a:ext uri="{FF2B5EF4-FFF2-40B4-BE49-F238E27FC236}">
              <a16:creationId xmlns:a16="http://schemas.microsoft.com/office/drawing/2014/main" id="{485CA422-32B7-433D-B579-192745384D51}"/>
            </a:ext>
          </a:extLst>
        </xdr:cNvPr>
        <xdr:cNvSpPr txBox="1"/>
      </xdr:nvSpPr>
      <xdr:spPr>
        <a:xfrm>
          <a:off x="296396" y="2113426"/>
          <a:ext cx="7126940" cy="825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solidFill>
                <a:srgbClr val="00B0F0"/>
              </a:solidFill>
            </a:rPr>
            <a:t>Overview</a:t>
          </a:r>
        </a:p>
        <a:p>
          <a:r>
            <a:rPr lang="en-US"/>
            <a:t>VarStec’s Harmonic Filter Design Workbook is an engineering tool developed to support the design, evaluation, and comparison of medium-voltage harmonic filter systems used in industrial,</a:t>
          </a:r>
          <a:r>
            <a:rPr lang="en-US" baseline="0"/>
            <a:t> utility, and renewable </a:t>
          </a:r>
          <a:r>
            <a:rPr lang="en-US"/>
            <a:t>power networks. The workbook provides a consistent, transparent methodology for designing single-tuned (notch), high-pass (HP), and C-high-pass (C-HP) harmonic filters based on fundamental system requirements and known harmonic current spectra.</a:t>
          </a:r>
          <a:br>
            <a:rPr lang="en-US"/>
          </a:br>
          <a:endParaRPr lang="en-US"/>
        </a:p>
        <a:p>
          <a:r>
            <a:rPr lang="en-US"/>
            <a:t>Harmonic filters are applied to mitigate voltage distortion, limit harmonic current propagation, suppress resonance, and provide reactive power support in systems containing non-linear loads such as large variable-speed drives, rectifiers, soft starters, and other power electronic equipment. Proper filter design requires careful coordination of tuning, reactive power rating, component voltage and current duty ratings, and proper rating</a:t>
          </a:r>
          <a:r>
            <a:rPr lang="en-US" baseline="0"/>
            <a:t> of filter components</a:t>
          </a:r>
          <a:r>
            <a:rPr lang="en-US"/>
            <a:t>. Inadequate or poorly coordinated filter designs can result in excessive capacitor stress, resonance amplification, overheating, and premature failure of the filter.</a:t>
          </a:r>
          <a:br>
            <a:rPr lang="en-US"/>
          </a:br>
          <a:endParaRPr lang="en-US"/>
        </a:p>
        <a:p>
          <a:r>
            <a:rPr lang="en-US"/>
            <a:t>This workbook models harmonic filters using established electrical relationships and industry-accepted practices. All calculations are performed using explicit reactance-based formulations, allowing the engineer to clearly trace how tuning, capacitance, inductance, damping, and harmonic current injection influence filter component</a:t>
          </a:r>
          <a:r>
            <a:rPr lang="en-US" baseline="0"/>
            <a:t> ratings.</a:t>
          </a:r>
          <a:r>
            <a:rPr lang="en-US"/>
            <a:t> The workbook does not rely on proprietary algorithms, black-box solvers, or embedded harmonic simulation engines. Instead, it assumes that harmonic current spectra have been developed separately through system studies or measurements and are provided as inputs to the design.</a:t>
          </a:r>
          <a:br>
            <a:rPr lang="en-US"/>
          </a:br>
          <a:endParaRPr lang="en-US"/>
        </a:p>
        <a:p>
          <a:r>
            <a:rPr lang="en-US"/>
            <a:t>By maintaining a fully transparent calculation framework, the workbook enables qualified engineers to independently verify results, perform sensitivity checks, and adapt designs to project-specific requirements. The tool is intended to assist</a:t>
          </a:r>
          <a:r>
            <a:rPr lang="en-US" baseline="0"/>
            <a:t> with filter design and specification and to support engineers performing harmonic studies. </a:t>
          </a:r>
        </a:p>
        <a:p>
          <a:endParaRPr lang="en-US"/>
        </a:p>
        <a:p>
          <a:pPr algn="l"/>
          <a:r>
            <a:rPr lang="en-US" sz="1600" b="1">
              <a:solidFill>
                <a:srgbClr val="00B0F0"/>
              </a:solidFill>
            </a:rPr>
            <a:t>Workboo</a:t>
          </a:r>
          <a:r>
            <a:rPr lang="en-US" sz="1600" b="1" baseline="0">
              <a:solidFill>
                <a:srgbClr val="00B0F0"/>
              </a:solidFill>
            </a:rPr>
            <a:t>k </a:t>
          </a:r>
          <a:r>
            <a:rPr lang="en-US" sz="1600" b="1">
              <a:solidFill>
                <a:srgbClr val="00B0F0"/>
              </a:solidFill>
            </a:rPr>
            <a:t>Purpose</a:t>
          </a:r>
          <a:endParaRPr lang="en-US" sz="1400" b="1">
            <a:solidFill>
              <a:srgbClr val="00B0F0"/>
            </a:solidFill>
          </a:endParaRPr>
        </a:p>
        <a:p>
          <a:r>
            <a:rPr lang="en-US"/>
            <a:t>This workbook is intended to </a:t>
          </a:r>
          <a:r>
            <a:rPr lang="en-US" b="0"/>
            <a:t>support the preliminary sizing, tuning, and verification of medium-voltage harmonic filters engineered by VarStec Power Solutions. It provides a structured framework for evaluating filter performance, component duty, and losses across multiple commonly applied filter topologies. Each worksheet represents a specific filter configuration and is used to determine appropriate capacitor, reactor, and damping resistor ratings that satisfy defined harmonic mitigation and system performance objectives.</a:t>
          </a:r>
          <a:br>
            <a:rPr lang="en-US" b="0"/>
          </a:br>
          <a:endParaRPr lang="en-US" b="0"/>
        </a:p>
        <a:p>
          <a:r>
            <a:rPr lang="en-US" b="0"/>
            <a:t>The workbook supports both forward design and reverse engineering use cases. Forward-design worksheets are used to develop complete filter designs from system requirements (system voltage and frequency, reactive power requirements, current injection data, tuning point, and </a:t>
          </a:r>
          <a:r>
            <a:rPr lang="en-US" b="0" baseline="0"/>
            <a:t>damping factor), </a:t>
          </a:r>
          <a:r>
            <a:rPr lang="en-US" b="0"/>
            <a:t>while reverse-calculator </a:t>
          </a:r>
          <a:r>
            <a:rPr lang="en-US"/>
            <a:t>tools are provided to back-calculate key filter ratings to allow for the use of the forward design</a:t>
          </a:r>
          <a:r>
            <a:rPr lang="en-US" baseline="0"/>
            <a:t> worksheets.</a:t>
          </a:r>
          <a:endParaRPr lang="en-US"/>
        </a:p>
        <a:p>
          <a:br>
            <a:rPr lang="en-US"/>
          </a:br>
          <a:r>
            <a:rPr lang="en-US" sz="1100" b="1">
              <a:solidFill>
                <a:srgbClr val="00B0F0"/>
              </a:solidFill>
              <a:effectLst/>
              <a:latin typeface="+mn-lt"/>
              <a:ea typeface="+mn-ea"/>
              <a:cs typeface="+mn-cs"/>
            </a:rPr>
            <a:t>Notch Filter Design</a:t>
          </a:r>
          <a:endParaRPr lang="en-US" sz="1100" b="1">
            <a:solidFill>
              <a:srgbClr val="00B0F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worksheet supports the forward design of a classical single-tuned (notch) harmonic filter. The fundamental reactive power rating and tuning point are defined, and the corresponding capacitor and reactor reactances are calculated. Injected harmonic currents are applied to evaluate capacitor voltage stress, current duty, reactive power duty, reactor current loading, and overall filter impedance characteristics.</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notch filter design is typically the most economical solution and is widely applied where harmonic mitigation, power factor correction, and resonance control can be achieved without the use of damping resistors.</a:t>
          </a:r>
          <a:endParaRPr lang="en-US">
            <a:effectLst/>
          </a:endParaRPr>
        </a:p>
        <a:p>
          <a:endParaRPr lang="en-US">
            <a:effectLst/>
          </a:endParaRPr>
        </a:p>
        <a:p>
          <a:endParaRPr lang="en-US" b="0"/>
        </a:p>
      </xdr:txBody>
    </xdr:sp>
    <xdr:clientData/>
  </xdr:twoCellAnchor>
  <xdr:twoCellAnchor>
    <xdr:from>
      <xdr:col>43</xdr:col>
      <xdr:colOff>101412</xdr:colOff>
      <xdr:row>4</xdr:row>
      <xdr:rowOff>212908</xdr:rowOff>
    </xdr:from>
    <xdr:to>
      <xdr:col>82</xdr:col>
      <xdr:colOff>79000</xdr:colOff>
      <xdr:row>32</xdr:row>
      <xdr:rowOff>66675</xdr:rowOff>
    </xdr:to>
    <xdr:sp macro="" textlink="">
      <xdr:nvSpPr>
        <xdr:cNvPr id="11" name="TextBox 10">
          <a:extLst>
            <a:ext uri="{FF2B5EF4-FFF2-40B4-BE49-F238E27FC236}">
              <a16:creationId xmlns:a16="http://schemas.microsoft.com/office/drawing/2014/main" id="{943808FF-8E5B-48D8-9648-4C0D811AF37B}"/>
            </a:ext>
          </a:extLst>
        </xdr:cNvPr>
        <xdr:cNvSpPr txBox="1"/>
      </xdr:nvSpPr>
      <xdr:spPr>
        <a:xfrm>
          <a:off x="7883337" y="1127308"/>
          <a:ext cx="7035613" cy="6254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r>
            <a:rPr lang="en-US" sz="1100" b="1">
              <a:solidFill>
                <a:srgbClr val="00B0F0"/>
              </a:solidFill>
              <a:latin typeface="+mn-lt"/>
              <a:ea typeface="+mn-ea"/>
              <a:cs typeface="+mn-cs"/>
            </a:rPr>
            <a:t>High-Pass (HP) Filter Design</a:t>
          </a:r>
        </a:p>
        <a:p>
          <a:r>
            <a:rPr lang="en-US"/>
            <a:t>This worksheet extends the notch filter methodology by incorporating a damping resistor to provide broadband harmonic attenuation above the tuning frequency. In addition to capacitor and reactor sizing, the tool evaluates damping factor, resistor current, and resistor power dissipation under both fundamental and harmonic conditions.</a:t>
          </a:r>
        </a:p>
        <a:p>
          <a:br>
            <a:rPr lang="en-US"/>
          </a:br>
          <a:r>
            <a:rPr lang="en-US"/>
            <a:t>High-pass filters are typically applied where interharmonics, system capacitance, or multiple resonance points require damping. The worksheet explicitly accounts for the increased losses associated with resistive damping and is used to determine whether a high-pass or alternative topology is more appropriate.</a:t>
          </a:r>
        </a:p>
        <a:p>
          <a:endParaRPr lang="en-US" sz="1100"/>
        </a:p>
        <a:p>
          <a:r>
            <a:rPr lang="en-US" sz="1100" b="1">
              <a:solidFill>
                <a:srgbClr val="00B0F0"/>
              </a:solidFill>
              <a:latin typeface="+mn-lt"/>
              <a:ea typeface="+mn-ea"/>
              <a:cs typeface="+mn-cs"/>
            </a:rPr>
            <a:t>C-High-Pass (C-HP) Filter Design</a:t>
          </a:r>
        </a:p>
        <a:p>
          <a:r>
            <a:rPr lang="en-US"/>
            <a:t>This worksheet supports the design of a classical C-high-pass harmonic filter, which incorporates an auxiliary capacitor tuned with the reactor to eliminate fundamental-frequency losses in the damping resistor. This topology allows for very low damping factors while maintaining negligible fundamental losses (50 or 60 Hertz), making it suitable for systems with high harmonic energy or aggressive damping requirements.</a:t>
          </a:r>
        </a:p>
        <a:p>
          <a:br>
            <a:rPr lang="en-US"/>
          </a:br>
          <a:r>
            <a:rPr lang="en-US"/>
            <a:t>The worksheet independently evaluates the main and auxiliary capacitor groups, reactor loading, damping resistor performance, harmonic current distribution, and total losses, providing a complete assessment of C-HP filter design.</a:t>
          </a:r>
          <a:br>
            <a:rPr lang="en-US"/>
          </a:br>
          <a:endParaRPr lang="en-US" sz="1100"/>
        </a:p>
        <a:p>
          <a:r>
            <a:rPr lang="en-US" sz="1100" b="1">
              <a:solidFill>
                <a:srgbClr val="00B0F0"/>
              </a:solidFill>
              <a:latin typeface="+mn-lt"/>
              <a:ea typeface="+mn-ea"/>
              <a:cs typeface="+mn-cs"/>
            </a:rPr>
            <a:t>Reverse Calculator Tools</a:t>
          </a:r>
        </a:p>
        <a:p>
          <a:r>
            <a:rPr lang="en-US"/>
            <a:t>The workbook includes reverse-calculation worksheets for Notch, High-Pass, and C-High-Pass filter topologies. These tools are used when filter inductance, capacitance, and damping resistance are already defined, such as when evaluating existing installations, customer</a:t>
          </a:r>
          <a:r>
            <a:rPr lang="en-US" baseline="0"/>
            <a:t> or EPC supplied component ratings</a:t>
          </a:r>
          <a:r>
            <a:rPr lang="en-US"/>
            <a:t>, or legacy designs with incomplete documentation.</a:t>
          </a:r>
        </a:p>
        <a:p>
          <a:endParaRPr lang="en-US"/>
        </a:p>
        <a:p>
          <a:r>
            <a:rPr lang="en-US"/>
            <a:t>The reverse calculators back-calculate tuning frequency, reactive power rating, and damping factor. Three key inputs</a:t>
          </a:r>
          <a:r>
            <a:rPr lang="en-US" baseline="0"/>
            <a:t> for the forward design worksheets (notch, High-Pass, and C-High-Pass worksheets). With the key inputs, the forward design worksheets may be employed.</a:t>
          </a:r>
          <a:endParaRPr lang="en-US"/>
        </a:p>
        <a:p>
          <a:endParaRPr lang="en-US" sz="1100"/>
        </a:p>
        <a:p>
          <a:pPr algn="l"/>
          <a:r>
            <a:rPr lang="en-US" sz="1600" b="1">
              <a:solidFill>
                <a:srgbClr val="00B0F0"/>
              </a:solidFill>
              <a:latin typeface="+mn-lt"/>
              <a:ea typeface="+mn-ea"/>
              <a:cs typeface="+mn-cs"/>
            </a:rPr>
            <a:t>Intended Use</a:t>
          </a:r>
          <a:br>
            <a:rPr lang="en-US" sz="1400" b="1">
              <a:solidFill>
                <a:srgbClr val="00B0F0"/>
              </a:solidFill>
              <a:latin typeface="+mn-lt"/>
              <a:ea typeface="+mn-ea"/>
              <a:cs typeface="+mn-cs"/>
            </a:rPr>
          </a:br>
          <a:r>
            <a:rPr lang="en-US"/>
            <a:t>This workbook is intended for use by qualified electrical engineers familiar with medium-voltage power systems and harmonic analysis. It is designed to support early-stage engineering, option screening, and design validation and should be used in conjunction with system harmonic studies, protection coordination, and applicable IEEE and IEC standards.</a:t>
          </a:r>
        </a:p>
        <a:p>
          <a:endParaRPr lang="en-US"/>
        </a:p>
        <a:p>
          <a:r>
            <a:rPr lang="en-US"/>
            <a:t>For additional information, engineering support, or custom harmonic filter designs, contact </a:t>
          </a:r>
          <a:r>
            <a:rPr lang="en-US" b="1"/>
            <a:t>VarStec Power Solutions</a:t>
          </a:r>
          <a:r>
            <a:rPr lang="en-US"/>
            <a:t> at </a:t>
          </a:r>
          <a:r>
            <a:rPr lang="en-US" b="1"/>
            <a:t>info@varstec.com</a:t>
          </a:r>
          <a:r>
            <a:rPr lang="en-US"/>
            <a:t>.</a:t>
          </a:r>
        </a:p>
        <a:p>
          <a:endParaRPr lang="en-US" sz="1100"/>
        </a:p>
      </xdr:txBody>
    </xdr:sp>
    <xdr:clientData/>
  </xdr:twoCellAnchor>
  <xdr:twoCellAnchor editAs="oneCell">
    <xdr:from>
      <xdr:col>70</xdr:col>
      <xdr:colOff>28575</xdr:colOff>
      <xdr:row>31</xdr:row>
      <xdr:rowOff>200024</xdr:rowOff>
    </xdr:from>
    <xdr:to>
      <xdr:col>77</xdr:col>
      <xdr:colOff>114299</xdr:colOff>
      <xdr:row>43</xdr:row>
      <xdr:rowOff>161921</xdr:rowOff>
    </xdr:to>
    <xdr:pic>
      <xdr:nvPicPr>
        <xdr:cNvPr id="17" name="Graphic 16">
          <a:extLst>
            <a:ext uri="{FF2B5EF4-FFF2-40B4-BE49-F238E27FC236}">
              <a16:creationId xmlns:a16="http://schemas.microsoft.com/office/drawing/2014/main" id="{31E15051-5281-DE26-0DB5-921287896C8F}"/>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696825" y="7286624"/>
          <a:ext cx="1352549" cy="2705097"/>
        </a:xfrm>
        <a:prstGeom prst="rect">
          <a:avLst/>
        </a:prstGeom>
      </xdr:spPr>
    </xdr:pic>
    <xdr:clientData/>
  </xdr:twoCellAnchor>
  <xdr:twoCellAnchor editAs="oneCell">
    <xdr:from>
      <xdr:col>60</xdr:col>
      <xdr:colOff>8324</xdr:colOff>
      <xdr:row>31</xdr:row>
      <xdr:rowOff>209550</xdr:rowOff>
    </xdr:from>
    <xdr:to>
      <xdr:col>67</xdr:col>
      <xdr:colOff>140474</xdr:colOff>
      <xdr:row>44</xdr:row>
      <xdr:rowOff>35700</xdr:rowOff>
    </xdr:to>
    <xdr:pic>
      <xdr:nvPicPr>
        <xdr:cNvPr id="19" name="Graphic 18">
          <a:extLst>
            <a:ext uri="{FF2B5EF4-FFF2-40B4-BE49-F238E27FC236}">
              <a16:creationId xmlns:a16="http://schemas.microsoft.com/office/drawing/2014/main" id="{CE191CA1-0BE6-65D5-6B49-878D553A0CE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866824" y="7296150"/>
          <a:ext cx="1398975" cy="2797950"/>
        </a:xfrm>
        <a:prstGeom prst="rect">
          <a:avLst/>
        </a:prstGeom>
      </xdr:spPr>
    </xdr:pic>
    <xdr:clientData/>
  </xdr:twoCellAnchor>
  <xdr:twoCellAnchor editAs="oneCell">
    <xdr:from>
      <xdr:col>49</xdr:col>
      <xdr:colOff>47625</xdr:colOff>
      <xdr:row>32</xdr:row>
      <xdr:rowOff>19050</xdr:rowOff>
    </xdr:from>
    <xdr:to>
      <xdr:col>56</xdr:col>
      <xdr:colOff>157123</xdr:colOff>
      <xdr:row>44</xdr:row>
      <xdr:rowOff>28494</xdr:rowOff>
    </xdr:to>
    <xdr:pic>
      <xdr:nvPicPr>
        <xdr:cNvPr id="21" name="Graphic 20">
          <a:extLst>
            <a:ext uri="{FF2B5EF4-FFF2-40B4-BE49-F238E27FC236}">
              <a16:creationId xmlns:a16="http://schemas.microsoft.com/office/drawing/2014/main" id="{B5B7C468-949F-FF33-8129-5FC0E33FB3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8915400" y="7334250"/>
          <a:ext cx="1376323" cy="2752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6037E335-CA81-406B-A92F-CCF81DC1D3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152398</xdr:rowOff>
    </xdr:from>
    <xdr:ext cx="1638301" cy="819151"/>
    <xdr:pic>
      <xdr:nvPicPr>
        <xdr:cNvPr id="3" name="Picture 2">
          <a:extLst>
            <a:ext uri="{FF2B5EF4-FFF2-40B4-BE49-F238E27FC236}">
              <a16:creationId xmlns:a16="http://schemas.microsoft.com/office/drawing/2014/main" id="{2D10FFBA-74EB-44F3-B454-856A7DBEB2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80998"/>
          <a:ext cx="1638301" cy="819151"/>
        </a:xfrm>
        <a:prstGeom prst="rect">
          <a:avLst/>
        </a:prstGeom>
      </xdr:spPr>
    </xdr:pic>
    <xdr:clientData/>
  </xdr:oneCellAnchor>
  <xdr:oneCellAnchor>
    <xdr:from>
      <xdr:col>32</xdr:col>
      <xdr:colOff>19049</xdr:colOff>
      <xdr:row>50</xdr:row>
      <xdr:rowOff>152398</xdr:rowOff>
    </xdr:from>
    <xdr:ext cx="1638301" cy="819151"/>
    <xdr:pic>
      <xdr:nvPicPr>
        <xdr:cNvPr id="4" name="Picture 3">
          <a:extLst>
            <a:ext uri="{FF2B5EF4-FFF2-40B4-BE49-F238E27FC236}">
              <a16:creationId xmlns:a16="http://schemas.microsoft.com/office/drawing/2014/main" id="{27572652-530D-46E1-A884-0DF9EEE40C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82398"/>
          <a:ext cx="1638301" cy="819151"/>
        </a:xfrm>
        <a:prstGeom prst="rect">
          <a:avLst/>
        </a:prstGeom>
      </xdr:spPr>
    </xdr:pic>
    <xdr:clientData/>
  </xdr:oneCellAnchor>
  <xdr:oneCellAnchor>
    <xdr:from>
      <xdr:col>74</xdr:col>
      <xdr:colOff>19049</xdr:colOff>
      <xdr:row>50</xdr:row>
      <xdr:rowOff>152398</xdr:rowOff>
    </xdr:from>
    <xdr:ext cx="1638301" cy="819151"/>
    <xdr:pic>
      <xdr:nvPicPr>
        <xdr:cNvPr id="5" name="Picture 4">
          <a:extLst>
            <a:ext uri="{FF2B5EF4-FFF2-40B4-BE49-F238E27FC236}">
              <a16:creationId xmlns:a16="http://schemas.microsoft.com/office/drawing/2014/main" id="{421A7F70-EE81-422C-BFE3-5E433BB2A5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82398"/>
          <a:ext cx="1638301" cy="819151"/>
        </a:xfrm>
        <a:prstGeom prst="rect">
          <a:avLst/>
        </a:prstGeom>
      </xdr:spPr>
    </xdr:pic>
    <xdr:clientData/>
  </xdr:oneCellAnchor>
  <xdr:oneCellAnchor>
    <xdr:from>
      <xdr:col>32</xdr:col>
      <xdr:colOff>19049</xdr:colOff>
      <xdr:row>99</xdr:row>
      <xdr:rowOff>152398</xdr:rowOff>
    </xdr:from>
    <xdr:ext cx="1638301" cy="819151"/>
    <xdr:pic>
      <xdr:nvPicPr>
        <xdr:cNvPr id="6" name="Picture 5">
          <a:extLst>
            <a:ext uri="{FF2B5EF4-FFF2-40B4-BE49-F238E27FC236}">
              <a16:creationId xmlns:a16="http://schemas.microsoft.com/office/drawing/2014/main" id="{08467321-03BB-4B67-8965-DE826D56DB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22783798"/>
          <a:ext cx="1638301" cy="819151"/>
        </a:xfrm>
        <a:prstGeom prst="rect">
          <a:avLst/>
        </a:prstGeom>
      </xdr:spPr>
    </xdr:pic>
    <xdr:clientData/>
  </xdr:oneCellAnchor>
  <xdr:oneCellAnchor>
    <xdr:from>
      <xdr:col>74</xdr:col>
      <xdr:colOff>19049</xdr:colOff>
      <xdr:row>99</xdr:row>
      <xdr:rowOff>152398</xdr:rowOff>
    </xdr:from>
    <xdr:ext cx="1638301" cy="819151"/>
    <xdr:pic>
      <xdr:nvPicPr>
        <xdr:cNvPr id="7" name="Picture 6">
          <a:extLst>
            <a:ext uri="{FF2B5EF4-FFF2-40B4-BE49-F238E27FC236}">
              <a16:creationId xmlns:a16="http://schemas.microsoft.com/office/drawing/2014/main" id="{5A1C0118-601A-42E3-8B9B-BC9A51FFE2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22783798"/>
          <a:ext cx="1638301" cy="819151"/>
        </a:xfrm>
        <a:prstGeom prst="rect">
          <a:avLst/>
        </a:prstGeom>
      </xdr:spPr>
    </xdr:pic>
    <xdr:clientData/>
  </xdr:oneCellAnchor>
  <xdr:oneCellAnchor>
    <xdr:from>
      <xdr:col>32</xdr:col>
      <xdr:colOff>19049</xdr:colOff>
      <xdr:row>148</xdr:row>
      <xdr:rowOff>152398</xdr:rowOff>
    </xdr:from>
    <xdr:ext cx="1638301" cy="819151"/>
    <xdr:pic>
      <xdr:nvPicPr>
        <xdr:cNvPr id="8" name="Picture 7">
          <a:extLst>
            <a:ext uri="{FF2B5EF4-FFF2-40B4-BE49-F238E27FC236}">
              <a16:creationId xmlns:a16="http://schemas.microsoft.com/office/drawing/2014/main" id="{0C88C971-018B-4EBC-9E16-3EBE3C2E86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33985198"/>
          <a:ext cx="1638301" cy="819151"/>
        </a:xfrm>
        <a:prstGeom prst="rect">
          <a:avLst/>
        </a:prstGeom>
      </xdr:spPr>
    </xdr:pic>
    <xdr:clientData/>
  </xdr:oneCellAnchor>
  <xdr:oneCellAnchor>
    <xdr:from>
      <xdr:col>74</xdr:col>
      <xdr:colOff>19049</xdr:colOff>
      <xdr:row>148</xdr:row>
      <xdr:rowOff>152398</xdr:rowOff>
    </xdr:from>
    <xdr:ext cx="1638301" cy="819151"/>
    <xdr:pic>
      <xdr:nvPicPr>
        <xdr:cNvPr id="9" name="Picture 8">
          <a:extLst>
            <a:ext uri="{FF2B5EF4-FFF2-40B4-BE49-F238E27FC236}">
              <a16:creationId xmlns:a16="http://schemas.microsoft.com/office/drawing/2014/main" id="{2F004F29-35FC-4C23-AB63-340F06056B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3985198"/>
          <a:ext cx="1638301" cy="819151"/>
        </a:xfrm>
        <a:prstGeom prst="rect">
          <a:avLst/>
        </a:prstGeom>
      </xdr:spPr>
    </xdr:pic>
    <xdr:clientData/>
  </xdr:oneCellAnchor>
  <xdr:twoCellAnchor>
    <xdr:from>
      <xdr:col>44</xdr:col>
      <xdr:colOff>175888</xdr:colOff>
      <xdr:row>123</xdr:row>
      <xdr:rowOff>111933</xdr:rowOff>
    </xdr:from>
    <xdr:to>
      <xdr:col>82</xdr:col>
      <xdr:colOff>40408</xdr:colOff>
      <xdr:row>143</xdr:row>
      <xdr:rowOff>212912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327E7C4A-1D68-4A67-878D-768BDA23E1D6}"/>
                </a:ext>
              </a:extLst>
            </xdr:cNvPr>
            <xdr:cNvSpPr txBox="1"/>
          </xdr:nvSpPr>
          <xdr:spPr>
            <a:xfrm>
              <a:off x="8138788" y="28229733"/>
              <a:ext cx="6741570" cy="46729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spreadsheet is used to support the design, tuning, and component selection associated with</a:t>
              </a:r>
              <a:r>
                <a:rPr lang="en-US" sz="1100" b="1">
                  <a:solidFill>
                    <a:schemeClr val="dk1"/>
                  </a:solidFill>
                  <a:effectLst/>
                  <a:latin typeface="+mn-lt"/>
                  <a:ea typeface="+mn-ea"/>
                  <a:cs typeface="+mn-cs"/>
                </a:rPr>
                <a:t> Notch type harmonic filters</a:t>
              </a:r>
              <a:r>
                <a:rPr lang="en-US" sz="1100">
                  <a:solidFill>
                    <a:schemeClr val="dk1"/>
                  </a:solidFill>
                  <a:effectLst/>
                  <a:latin typeface="+mn-lt"/>
                  <a:ea typeface="+mn-ea"/>
                  <a:cs typeface="+mn-cs"/>
                </a:rPr>
                <a:t> as engineered by </a:t>
              </a:r>
              <a:r>
                <a:rPr lang="en-US" sz="1100" b="1">
                  <a:solidFill>
                    <a:schemeClr val="dk1"/>
                  </a:solidFill>
                  <a:effectLst/>
                  <a:latin typeface="+mn-lt"/>
                  <a:ea typeface="+mn-ea"/>
                  <a:cs typeface="+mn-cs"/>
                </a:rPr>
                <a:t>VarStec Power Solutions</a:t>
              </a:r>
              <a:r>
                <a:rPr lang="en-US" sz="1100">
                  <a:solidFill>
                    <a:schemeClr val="dk1"/>
                  </a:solidFill>
                  <a:effectLst/>
                  <a:latin typeface="+mn-lt"/>
                  <a:ea typeface="+mn-ea"/>
                  <a:cs typeface="+mn-cs"/>
                </a:rPr>
                <a:t>. It provides a consistent methodology for determining all electrical parameters required for proper filter performance, including reactances, inductance, capacitor reactive power and voltage ratings, harmonic currents, voltage stresses, and damping resistance. The summary below describes the calculation process applied throughout the tool using a 13.8kV 1000 kvar filter branch as an example. The tool assumes that harmonic simulations  have been conducted and that the current spectrum into the harmonic filter is known. These values are inserted in the blue highlighted fields of rows 24 and 25 on page 1.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For additional information, engineering support, or custom filter designs, contact VarStec Power Solutions at </a:t>
              </a:r>
              <a:r>
                <a:rPr lang="en-US" sz="1100" b="1">
                  <a:solidFill>
                    <a:schemeClr val="dk1"/>
                  </a:solidFill>
                  <a:effectLst/>
                  <a:latin typeface="+mn-lt"/>
                  <a:ea typeface="+mn-ea"/>
                  <a:cs typeface="+mn-cs"/>
                </a:rPr>
                <a:t>info@varstec.com</a:t>
              </a:r>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design process begins by establishing the fundamental kvar requirement of the harmonic filter, typically based on the kvar demand of the connected load or the kvar allocation assigned to each stage of a multi-stage harmonic filter. This requirement is defined as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𝑄</m:t>
                      </m:r>
                    </m:e>
                    <m:sub>
                      <m:r>
                        <a:rPr lang="en-US" sz="1100" i="1">
                          <a:solidFill>
                            <a:schemeClr val="dk1"/>
                          </a:solidFill>
                          <a:effectLst/>
                          <a:latin typeface="Cambria Math" panose="02040503050406030204" pitchFamily="18" charset="0"/>
                          <a:ea typeface="+mn-ea"/>
                          <a:cs typeface="+mn-cs"/>
                        </a:rPr>
                        <m:t>𝑒𝑓𝑓</m:t>
                      </m:r>
                    </m:sub>
                  </m:sSub>
                  <m:r>
                    <a:rPr lang="en-US" sz="1100" b="0" i="1">
                      <a:solidFill>
                        <a:schemeClr val="dk1"/>
                      </a:solidFill>
                      <a:effectLst/>
                      <a:latin typeface="Cambria Math" panose="02040503050406030204" pitchFamily="18" charset="0"/>
                      <a:ea typeface="+mn-ea"/>
                      <a:cs typeface="+mn-cs"/>
                    </a:rPr>
                    <m:t> </m:t>
                  </m:r>
                </m:oMath>
              </a14:m>
              <a:r>
                <a:rPr lang="en-US" sz="1100">
                  <a:solidFill>
                    <a:schemeClr val="dk1"/>
                  </a:solidFill>
                  <a:effectLst/>
                  <a:latin typeface="+mn-lt"/>
                  <a:ea typeface="+mn-ea"/>
                  <a:cs typeface="+mn-cs"/>
                </a:rPr>
                <a:t>and forms the foundation of all subsequent calculations. Using the system’s nominal line-to-line voltage </a:t>
              </a:r>
              <a14:m>
                <m:oMath xmlns:m="http://schemas.openxmlformats.org/officeDocument/2006/math">
                  <m:r>
                    <a:rPr lang="en-US" sz="1100" i="1">
                      <a:solidFill>
                        <a:schemeClr val="dk1"/>
                      </a:solidFill>
                      <a:effectLst/>
                      <a:latin typeface="Cambria Math" panose="02040503050406030204" pitchFamily="18" charset="0"/>
                      <a:ea typeface="+mn-ea"/>
                      <a:cs typeface="+mn-cs"/>
                    </a:rPr>
                    <m:t>𝑘</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𝐿𝐿𝑆𝑌𝑆</m:t>
                      </m:r>
                    </m:sub>
                  </m:sSub>
                </m:oMath>
              </a14:m>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the spreadsheet determines the fundamental filter reactance,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𝑒𝑓𝑓</m:t>
                      </m:r>
                    </m:sub>
                  </m:sSub>
                </m:oMath>
              </a14:m>
              <a:r>
                <a:rPr lang="en-US" sz="1100">
                  <a:solidFill>
                    <a:schemeClr val="dk1"/>
                  </a:solidFill>
                  <a:effectLst/>
                  <a:latin typeface="+mn-lt"/>
                  <a:ea typeface="+mn-ea"/>
                  <a:cs typeface="+mn-cs"/>
                </a:rPr>
                <a:t>. For a notch type filter,  the summation of 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and 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 must sum to this</a:t>
              </a:r>
              <a:r>
                <a:rPr lang="en-US" sz="1100" baseline="0">
                  <a:solidFill>
                    <a:schemeClr val="dk1"/>
                  </a:solidFill>
                  <a:effectLst/>
                  <a:latin typeface="+mn-lt"/>
                  <a:ea typeface="+mn-ea"/>
                  <a:cs typeface="+mn-cs"/>
                </a:rPr>
                <a:t> value where </a:t>
              </a:r>
              <a:r>
                <a:rPr lang="en-US" sz="1100">
                  <a:solidFill>
                    <a:schemeClr val="dk1"/>
                  </a:solidFill>
                  <a:effectLst/>
                  <a:latin typeface="+mn-lt"/>
                  <a:ea typeface="+mn-ea"/>
                  <a:cs typeface="+mn-cs"/>
                </a:rPr>
                <a:t> X</a:t>
              </a:r>
              <a:r>
                <a:rPr lang="en-US" sz="1100" baseline="-25000">
                  <a:solidFill>
                    <a:schemeClr val="dk1"/>
                  </a:solidFill>
                  <a:effectLst/>
                  <a:latin typeface="+mn-lt"/>
                  <a:ea typeface="+mn-ea"/>
                  <a:cs typeface="+mn-cs"/>
                </a:rPr>
                <a:t>eff</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Xc and determined using</a:t>
              </a:r>
              <a:r>
                <a:rPr lang="en-US" sz="1100" baseline="0">
                  <a:solidFill>
                    <a:schemeClr val="dk1"/>
                  </a:solidFill>
                  <a:effectLst/>
                  <a:latin typeface="+mn-lt"/>
                  <a:ea typeface="+mn-ea"/>
                  <a:cs typeface="+mn-cs"/>
                </a:rPr>
                <a:t> the tuning point and the relationship:</a:t>
              </a:r>
              <a:r>
                <a:rPr lang="en-US" sz="1100">
                  <a:solidFill>
                    <a:schemeClr val="dk1"/>
                  </a:solidFill>
                  <a:effectLst/>
                  <a:latin typeface="+mn-lt"/>
                  <a:ea typeface="+mn-ea"/>
                  <a:cs typeface="+mn-cs"/>
                </a:rPr>
                <a:t>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𝐶</m:t>
                      </m:r>
                    </m:sub>
                  </m:sSub>
                  <m:r>
                    <a:rPr lang="en-US" sz="1100" i="1">
                      <a:solidFill>
                        <a:schemeClr val="dk1"/>
                      </a:solidFill>
                      <a:effectLst/>
                      <a:latin typeface="Cambria Math" panose="02040503050406030204" pitchFamily="18" charset="0"/>
                      <a:ea typeface="+mn-ea"/>
                      <a:cs typeface="+mn-cs"/>
                    </a:rPr>
                    <m:t>=</m:t>
                  </m:r>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sSup>
                            <m:sSupPr>
                              <m:ctrlPr>
                                <a:rPr lang="en-US" sz="1100" i="1">
                                  <a:solidFill>
                                    <a:schemeClr val="dk1"/>
                                  </a:solidFill>
                                  <a:effectLst/>
                                  <a:latin typeface="Cambria Math" panose="02040503050406030204" pitchFamily="18" charset="0"/>
                                  <a:ea typeface="+mn-ea"/>
                                  <a:cs typeface="+mn-cs"/>
                                </a:rPr>
                              </m:ctrlPr>
                            </m:sSupPr>
                            <m:e>
                              <m:r>
                                <a:rPr lang="en-US" sz="1100" i="1">
                                  <a:solidFill>
                                    <a:schemeClr val="dk1"/>
                                  </a:solidFill>
                                  <a:effectLst/>
                                  <a:latin typeface="Cambria Math" panose="02040503050406030204" pitchFamily="18" charset="0"/>
                                  <a:ea typeface="+mn-ea"/>
                                  <a:cs typeface="+mn-cs"/>
                                </a:rPr>
                                <m:t>h</m:t>
                              </m:r>
                            </m:e>
                            <m:sup>
                              <m:r>
                                <a:rPr lang="en-US" sz="1100" i="1">
                                  <a:solidFill>
                                    <a:schemeClr val="dk1"/>
                                  </a:solidFill>
                                  <a:effectLst/>
                                  <a:latin typeface="Cambria Math" panose="02040503050406030204" pitchFamily="18" charset="0"/>
                                  <a:ea typeface="+mn-ea"/>
                                  <a:cs typeface="+mn-cs"/>
                                </a:rPr>
                                <m:t>2</m:t>
                              </m:r>
                            </m:sup>
                          </m:sSup>
                        </m:num>
                        <m:den>
                          <m:sSup>
                            <m:sSupPr>
                              <m:ctrlPr>
                                <a:rPr lang="en-US" sz="1100" i="1">
                                  <a:solidFill>
                                    <a:schemeClr val="dk1"/>
                                  </a:solidFill>
                                  <a:effectLst/>
                                  <a:latin typeface="Cambria Math" panose="02040503050406030204" pitchFamily="18" charset="0"/>
                                  <a:ea typeface="+mn-ea"/>
                                  <a:cs typeface="+mn-cs"/>
                                </a:rPr>
                              </m:ctrlPr>
                            </m:sSupPr>
                            <m:e>
                              <m:r>
                                <a:rPr lang="en-US" sz="1100" i="1">
                                  <a:solidFill>
                                    <a:schemeClr val="dk1"/>
                                  </a:solidFill>
                                  <a:effectLst/>
                                  <a:latin typeface="Cambria Math" panose="02040503050406030204" pitchFamily="18" charset="0"/>
                                  <a:ea typeface="+mn-ea"/>
                                  <a:cs typeface="+mn-cs"/>
                                </a:rPr>
                                <m:t>h</m:t>
                              </m:r>
                            </m:e>
                            <m:sup>
                              <m:r>
                                <a:rPr lang="en-US" sz="1100" i="1">
                                  <a:solidFill>
                                    <a:schemeClr val="dk1"/>
                                  </a:solidFill>
                                  <a:effectLst/>
                                  <a:latin typeface="Cambria Math" panose="02040503050406030204" pitchFamily="18" charset="0"/>
                                  <a:ea typeface="+mn-ea"/>
                                  <a:cs typeface="+mn-cs"/>
                                </a:rPr>
                                <m:t>2</m:t>
                              </m:r>
                            </m:sup>
                          </m:sSup>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1</m:t>
                          </m:r>
                        </m:den>
                      </m:f>
                    </m:e>
                  </m:d>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𝑒𝑓𝑓</m:t>
                      </m:r>
                    </m:sub>
                  </m:sSub>
                </m:oMath>
              </a14:m>
              <a:r>
                <a:rPr lang="en-US" sz="1100">
                  <a:solidFill>
                    <a:schemeClr val="dk1"/>
                  </a:solidFill>
                  <a:effectLst/>
                  <a:latin typeface="+mn-lt"/>
                  <a:ea typeface="+mn-ea"/>
                  <a:cs typeface="+mn-cs"/>
                </a:rPr>
                <a:t> . </a:t>
              </a:r>
              <a:r>
                <a:rPr lang="en-US" sz="1100" baseline="-25000">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xdr:txBody>
        </xdr:sp>
      </mc:Choice>
      <mc:Fallback xmlns="">
        <xdr:sp macro="" textlink="">
          <xdr:nvSpPr>
            <xdr:cNvPr id="10" name="TextBox 9">
              <a:extLst>
                <a:ext uri="{FF2B5EF4-FFF2-40B4-BE49-F238E27FC236}">
                  <a16:creationId xmlns:a16="http://schemas.microsoft.com/office/drawing/2014/main" id="{327E7C4A-1D68-4A67-878D-768BDA23E1D6}"/>
                </a:ext>
              </a:extLst>
            </xdr:cNvPr>
            <xdr:cNvSpPr txBox="1"/>
          </xdr:nvSpPr>
          <xdr:spPr>
            <a:xfrm>
              <a:off x="8138788" y="28229733"/>
              <a:ext cx="6741570" cy="46729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spreadsheet is used to support the design, tuning, and component selection associated with</a:t>
              </a:r>
              <a:r>
                <a:rPr lang="en-US" sz="1100" b="1">
                  <a:solidFill>
                    <a:schemeClr val="dk1"/>
                  </a:solidFill>
                  <a:effectLst/>
                  <a:latin typeface="+mn-lt"/>
                  <a:ea typeface="+mn-ea"/>
                  <a:cs typeface="+mn-cs"/>
                </a:rPr>
                <a:t> Notch type harmonic filters</a:t>
              </a:r>
              <a:r>
                <a:rPr lang="en-US" sz="1100">
                  <a:solidFill>
                    <a:schemeClr val="dk1"/>
                  </a:solidFill>
                  <a:effectLst/>
                  <a:latin typeface="+mn-lt"/>
                  <a:ea typeface="+mn-ea"/>
                  <a:cs typeface="+mn-cs"/>
                </a:rPr>
                <a:t> as engineered by </a:t>
              </a:r>
              <a:r>
                <a:rPr lang="en-US" sz="1100" b="1">
                  <a:solidFill>
                    <a:schemeClr val="dk1"/>
                  </a:solidFill>
                  <a:effectLst/>
                  <a:latin typeface="+mn-lt"/>
                  <a:ea typeface="+mn-ea"/>
                  <a:cs typeface="+mn-cs"/>
                </a:rPr>
                <a:t>VarStec Power Solutions</a:t>
              </a:r>
              <a:r>
                <a:rPr lang="en-US" sz="1100">
                  <a:solidFill>
                    <a:schemeClr val="dk1"/>
                  </a:solidFill>
                  <a:effectLst/>
                  <a:latin typeface="+mn-lt"/>
                  <a:ea typeface="+mn-ea"/>
                  <a:cs typeface="+mn-cs"/>
                </a:rPr>
                <a:t>. It provides a consistent methodology for determining all electrical parameters required for proper filter performance, including reactances, inductance, capacitor reactive power and voltage ratings, harmonic currents, voltage stresses, and damping resistance. The summary below describes the calculation process applied throughout the tool using a 13.8kV 1000 kvar filter branch as an example. The tool assumes that harmonic simulations  have been conducted and that the current spectrum into the harmonic filter is known. These values are inserted in the blue highlighted fields of rows 24 and 25 on page 1.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For additional information, engineering support, or custom filter designs, contact VarStec Power Solutions at </a:t>
              </a:r>
              <a:r>
                <a:rPr lang="en-US" sz="1100" b="1">
                  <a:solidFill>
                    <a:schemeClr val="dk1"/>
                  </a:solidFill>
                  <a:effectLst/>
                  <a:latin typeface="+mn-lt"/>
                  <a:ea typeface="+mn-ea"/>
                  <a:cs typeface="+mn-cs"/>
                </a:rPr>
                <a:t>info@varstec.com</a:t>
              </a:r>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design process begins by establishing the fundamental kvar requirement of the harmonic filter, typically based on the kvar demand of the connected load or the kvar allocation assigned to each stage of a multi-stage harmonic filter. This requirement is defined as </a:t>
              </a:r>
              <a:r>
                <a:rPr lang="en-US" sz="1100" i="0">
                  <a:solidFill>
                    <a:schemeClr val="dk1"/>
                  </a:solidFill>
                  <a:effectLst/>
                  <a:latin typeface="Cambria Math" panose="02040503050406030204" pitchFamily="18" charset="0"/>
                  <a:ea typeface="+mn-ea"/>
                  <a:cs typeface="+mn-cs"/>
                </a:rPr>
                <a:t>𝑄_𝑒𝑓𝑓</a:t>
              </a:r>
              <a:r>
                <a:rPr lang="en-US" sz="1100" b="0" i="0">
                  <a:solidFill>
                    <a:schemeClr val="dk1"/>
                  </a:solidFill>
                  <a:effectLst/>
                  <a:latin typeface="Cambria Math" panose="02040503050406030204" pitchFamily="18" charset="0"/>
                  <a:ea typeface="+mn-ea"/>
                  <a:cs typeface="+mn-cs"/>
                </a:rPr>
                <a:t>  </a:t>
              </a:r>
              <a:r>
                <a:rPr lang="en-US" sz="1100">
                  <a:solidFill>
                    <a:schemeClr val="dk1"/>
                  </a:solidFill>
                  <a:effectLst/>
                  <a:latin typeface="+mn-lt"/>
                  <a:ea typeface="+mn-ea"/>
                  <a:cs typeface="+mn-cs"/>
                </a:rPr>
                <a:t>and forms the foundation of all subsequent calculations. Using the system’s nominal line-to-line voltage </a:t>
              </a:r>
              <a:r>
                <a:rPr lang="en-US" sz="1100" i="0">
                  <a:solidFill>
                    <a:schemeClr val="dk1"/>
                  </a:solidFill>
                  <a:effectLst/>
                  <a:latin typeface="Cambria Math" panose="02040503050406030204" pitchFamily="18" charset="0"/>
                  <a:ea typeface="+mn-ea"/>
                  <a:cs typeface="+mn-cs"/>
                </a:rPr>
                <a:t>𝑘𝑉_𝐿𝐿𝑆𝑌𝑆</a:t>
              </a:r>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the spreadsheet determines the fundamental filter reactance, </a:t>
              </a:r>
              <a:r>
                <a:rPr lang="en-US" sz="1100" i="0">
                  <a:solidFill>
                    <a:schemeClr val="dk1"/>
                  </a:solidFill>
                  <a:effectLst/>
                  <a:latin typeface="Cambria Math" panose="02040503050406030204" pitchFamily="18" charset="0"/>
                  <a:ea typeface="+mn-ea"/>
                  <a:cs typeface="+mn-cs"/>
                </a:rPr>
                <a:t>𝑋_𝑒𝑓𝑓</a:t>
              </a:r>
              <a:r>
                <a:rPr lang="en-US" sz="1100">
                  <a:solidFill>
                    <a:schemeClr val="dk1"/>
                  </a:solidFill>
                  <a:effectLst/>
                  <a:latin typeface="+mn-lt"/>
                  <a:ea typeface="+mn-ea"/>
                  <a:cs typeface="+mn-cs"/>
                </a:rPr>
                <a:t>. For a notch type filter,  the summation of 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and 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 must sum to this</a:t>
              </a:r>
              <a:r>
                <a:rPr lang="en-US" sz="1100" baseline="0">
                  <a:solidFill>
                    <a:schemeClr val="dk1"/>
                  </a:solidFill>
                  <a:effectLst/>
                  <a:latin typeface="+mn-lt"/>
                  <a:ea typeface="+mn-ea"/>
                  <a:cs typeface="+mn-cs"/>
                </a:rPr>
                <a:t> value where </a:t>
              </a:r>
              <a:r>
                <a:rPr lang="en-US" sz="1100">
                  <a:solidFill>
                    <a:schemeClr val="dk1"/>
                  </a:solidFill>
                  <a:effectLst/>
                  <a:latin typeface="+mn-lt"/>
                  <a:ea typeface="+mn-ea"/>
                  <a:cs typeface="+mn-cs"/>
                </a:rPr>
                <a:t> X</a:t>
              </a:r>
              <a:r>
                <a:rPr lang="en-US" sz="1100" baseline="-25000">
                  <a:solidFill>
                    <a:schemeClr val="dk1"/>
                  </a:solidFill>
                  <a:effectLst/>
                  <a:latin typeface="+mn-lt"/>
                  <a:ea typeface="+mn-ea"/>
                  <a:cs typeface="+mn-cs"/>
                </a:rPr>
                <a:t>eff</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Xc and determined using</a:t>
              </a:r>
              <a:r>
                <a:rPr lang="en-US" sz="1100" baseline="0">
                  <a:solidFill>
                    <a:schemeClr val="dk1"/>
                  </a:solidFill>
                  <a:effectLst/>
                  <a:latin typeface="+mn-lt"/>
                  <a:ea typeface="+mn-ea"/>
                  <a:cs typeface="+mn-cs"/>
                </a:rPr>
                <a:t> the tuning point and the relationship:</a:t>
              </a:r>
              <a:r>
                <a:rPr lang="en-US" sz="1100">
                  <a:solidFill>
                    <a:schemeClr val="dk1"/>
                  </a:solidFill>
                  <a:effectLst/>
                  <a:latin typeface="+mn-lt"/>
                  <a:ea typeface="+mn-ea"/>
                  <a:cs typeface="+mn-cs"/>
                </a:rPr>
                <a:t> </a:t>
              </a:r>
              <a:r>
                <a:rPr lang="en-US" sz="1100" i="0">
                  <a:solidFill>
                    <a:schemeClr val="dk1"/>
                  </a:solidFill>
                  <a:effectLst/>
                  <a:latin typeface="Cambria Math" panose="02040503050406030204" pitchFamily="18" charset="0"/>
                  <a:ea typeface="+mn-ea"/>
                  <a:cs typeface="+mn-cs"/>
                </a:rPr>
                <a:t>𝑋_𝐶=(ℎ^2/(ℎ^2−1)) 𝑋_𝑒𝑓𝑓</a:t>
              </a:r>
              <a:r>
                <a:rPr lang="en-US" sz="1100">
                  <a:solidFill>
                    <a:schemeClr val="dk1"/>
                  </a:solidFill>
                  <a:effectLst/>
                  <a:latin typeface="+mn-lt"/>
                  <a:ea typeface="+mn-ea"/>
                  <a:cs typeface="+mn-cs"/>
                </a:rPr>
                <a:t> . </a:t>
              </a:r>
              <a:r>
                <a:rPr lang="en-US" sz="1100" baseline="-25000">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xdr:txBody>
        </xdr:sp>
      </mc:Fallback>
    </mc:AlternateContent>
    <xdr:clientData/>
  </xdr:twoCellAnchor>
  <xdr:twoCellAnchor>
    <xdr:from>
      <xdr:col>44</xdr:col>
      <xdr:colOff>70402</xdr:colOff>
      <xdr:row>25</xdr:row>
      <xdr:rowOff>117638</xdr:rowOff>
    </xdr:from>
    <xdr:to>
      <xdr:col>83</xdr:col>
      <xdr:colOff>81608</xdr:colOff>
      <xdr:row>30</xdr:row>
      <xdr:rowOff>23606</xdr:rowOff>
    </xdr:to>
    <xdr:sp macro="" textlink="">
      <xdr:nvSpPr>
        <xdr:cNvPr id="11" name="TextBox 10">
          <a:extLst>
            <a:ext uri="{FF2B5EF4-FFF2-40B4-BE49-F238E27FC236}">
              <a16:creationId xmlns:a16="http://schemas.microsoft.com/office/drawing/2014/main" id="{947FABC0-D291-4B48-B9E0-B2C198C208E4}"/>
            </a:ext>
          </a:extLst>
        </xdr:cNvPr>
        <xdr:cNvSpPr txBox="1"/>
      </xdr:nvSpPr>
      <xdr:spPr>
        <a:xfrm>
          <a:off x="8033302" y="5832638"/>
          <a:ext cx="7069231" cy="10489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0"/>
            <a:t>The harmonic</a:t>
          </a:r>
          <a:r>
            <a:rPr lang="en-US" b="0" baseline="0"/>
            <a:t> filter </a:t>
          </a:r>
          <a:r>
            <a:rPr lang="en-US" b="0"/>
            <a:t>design must ensure capacitor operating duties stay within IEEE/IEC-rated limits, including the allowable 10% continuous overvoltage. The spreadsheet checks four key parameters against their rated duty: % Rated</a:t>
          </a:r>
          <a:r>
            <a:rPr lang="en-US" b="0" baseline="0"/>
            <a:t> </a:t>
          </a:r>
          <a:r>
            <a:rPr lang="en-US" b="0"/>
            <a:t>Volts, % Crest Voltage, % Amps, % kVAR. If any value exceeds its limit, the cell turns red. In that case, increase the capacitor voltage rating. The objective is to meet the required duty without significantly exceeding the rating, which would increase cost.</a:t>
          </a:r>
          <a:endParaRPr lang="en-US" sz="1100" b="0"/>
        </a:p>
      </xdr:txBody>
    </xdr:sp>
    <xdr:clientData/>
  </xdr:twoCellAnchor>
  <xdr:twoCellAnchor>
    <xdr:from>
      <xdr:col>2</xdr:col>
      <xdr:colOff>0</xdr:colOff>
      <xdr:row>152</xdr:row>
      <xdr:rowOff>4694</xdr:rowOff>
    </xdr:from>
    <xdr:to>
      <xdr:col>40</xdr:col>
      <xdr:colOff>149679</xdr:colOff>
      <xdr:row>166</xdr:row>
      <xdr:rowOff>134471</xdr:rowOff>
    </xdr:to>
    <xdr:sp macro="" textlink="">
      <xdr:nvSpPr>
        <xdr:cNvPr id="12" name="TextBox 11">
          <a:extLst>
            <a:ext uri="{FF2B5EF4-FFF2-40B4-BE49-F238E27FC236}">
              <a16:creationId xmlns:a16="http://schemas.microsoft.com/office/drawing/2014/main" id="{269B0BCF-5380-4901-9278-5B409E1D47F7}"/>
            </a:ext>
          </a:extLst>
        </xdr:cNvPr>
        <xdr:cNvSpPr txBox="1"/>
      </xdr:nvSpPr>
      <xdr:spPr>
        <a:xfrm>
          <a:off x="361950" y="34751894"/>
          <a:ext cx="7026729" cy="3330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With 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known, 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 is computed using the relationship: X</a:t>
          </a:r>
          <a:r>
            <a:rPr lang="en-US" sz="1100" baseline="-25000">
              <a:solidFill>
                <a:schemeClr val="dk1"/>
              </a:solidFill>
              <a:effectLst/>
              <a:latin typeface="+mn-lt"/>
              <a:ea typeface="+mn-ea"/>
              <a:cs typeface="+mn-cs"/>
            </a:rPr>
            <a:t>eff</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From there L and C are calculated. </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capacitor kvar ratings is then determined using the rated operating voltage.  With kvar and reactances established, the spreadsheet computes the fundamental filter current and applies injected harmonic current data to evaluate the resulting capacitor voltage stresses, current duty, and reactive power duty. These computed values are compared against industry-standard capacitor ratings to confirm suitability for the intended application.</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Taken together, these calculations define a complete, consistent, and repeatable </a:t>
          </a:r>
          <a:r>
            <a:rPr lang="en-US" sz="1100" b="1">
              <a:solidFill>
                <a:schemeClr val="dk1"/>
              </a:solidFill>
              <a:effectLst/>
              <a:latin typeface="+mn-lt"/>
              <a:ea typeface="+mn-ea"/>
              <a:cs typeface="+mn-cs"/>
            </a:rPr>
            <a:t>VarStec methodology</a:t>
          </a:r>
          <a:r>
            <a:rPr lang="en-US" sz="1100">
              <a:solidFill>
                <a:schemeClr val="dk1"/>
              </a:solidFill>
              <a:effectLst/>
              <a:latin typeface="+mn-lt"/>
              <a:ea typeface="+mn-ea"/>
              <a:cs typeface="+mn-cs"/>
            </a:rPr>
            <a:t> for the engineering of notch</a:t>
          </a:r>
          <a:r>
            <a:rPr lang="en-US" sz="1100" baseline="0">
              <a:solidFill>
                <a:schemeClr val="dk1"/>
              </a:solidFill>
              <a:effectLst/>
              <a:latin typeface="+mn-lt"/>
              <a:ea typeface="+mn-ea"/>
              <a:cs typeface="+mn-cs"/>
            </a:rPr>
            <a:t> type</a:t>
          </a:r>
          <a:r>
            <a:rPr lang="en-US" sz="1100">
              <a:solidFill>
                <a:schemeClr val="dk1"/>
              </a:solidFill>
              <a:effectLst/>
              <a:latin typeface="+mn-lt"/>
              <a:ea typeface="+mn-ea"/>
              <a:cs typeface="+mn-cs"/>
            </a:rPr>
            <a:t> harmonic filters. The spreadsheet determines all critical design parameters, including reactances, inductance, kvar ratings, current loading, and voltage stress, using standardized electrical notation to provide traceability, transparency, and field-proven reliability.</a:t>
          </a:r>
        </a:p>
        <a:p>
          <a:endParaRPr lang="en-US" sz="1100"/>
        </a:p>
      </xdr:txBody>
    </xdr:sp>
    <xdr:clientData/>
  </xdr:twoCellAnchor>
  <xdr:twoCellAnchor>
    <xdr:from>
      <xdr:col>2</xdr:col>
      <xdr:colOff>135547</xdr:colOff>
      <xdr:row>78</xdr:row>
      <xdr:rowOff>219807</xdr:rowOff>
    </xdr:from>
    <xdr:to>
      <xdr:col>41</xdr:col>
      <xdr:colOff>7327</xdr:colOff>
      <xdr:row>95</xdr:row>
      <xdr:rowOff>43961</xdr:rowOff>
    </xdr:to>
    <xdr:graphicFrame macro="">
      <xdr:nvGraphicFramePr>
        <xdr:cNvPr id="13" name="Chart 12">
          <a:extLst>
            <a:ext uri="{FF2B5EF4-FFF2-40B4-BE49-F238E27FC236}">
              <a16:creationId xmlns:a16="http://schemas.microsoft.com/office/drawing/2014/main" id="{427F10EE-3BB4-47A8-9345-6255C4B72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44</xdr:col>
      <xdr:colOff>24848</xdr:colOff>
      <xdr:row>103</xdr:row>
      <xdr:rowOff>227071</xdr:rowOff>
    </xdr:from>
    <xdr:to>
      <xdr:col>45</xdr:col>
      <xdr:colOff>108732</xdr:colOff>
      <xdr:row>105</xdr:row>
      <xdr:rowOff>31252</xdr:rowOff>
    </xdr:to>
    <xdr:pic>
      <xdr:nvPicPr>
        <xdr:cNvPr id="14" name="Picture 13">
          <a:extLst>
            <a:ext uri="{FF2B5EF4-FFF2-40B4-BE49-F238E27FC236}">
              <a16:creationId xmlns:a16="http://schemas.microsoft.com/office/drawing/2014/main" id="{B9F8F12B-3E5B-4293-8807-1A066D968472}"/>
            </a:ext>
          </a:extLst>
        </xdr:cNvPr>
        <xdr:cNvPicPr>
          <a:picLocks noChangeAspect="1"/>
        </xdr:cNvPicPr>
      </xdr:nvPicPr>
      <xdr:blipFill>
        <a:blip xmlns:r="http://schemas.openxmlformats.org/officeDocument/2006/relationships" r:embed="rId4"/>
        <a:stretch>
          <a:fillRect/>
        </a:stretch>
      </xdr:blipFill>
      <xdr:spPr>
        <a:xfrm>
          <a:off x="7987748" y="23772871"/>
          <a:ext cx="264859" cy="261381"/>
        </a:xfrm>
        <a:prstGeom prst="rect">
          <a:avLst/>
        </a:prstGeom>
      </xdr:spPr>
    </xdr:pic>
    <xdr:clientData/>
  </xdr:twoCellAnchor>
  <xdr:twoCellAnchor editAs="oneCell">
    <xdr:from>
      <xdr:col>43</xdr:col>
      <xdr:colOff>158903</xdr:colOff>
      <xdr:row>121</xdr:row>
      <xdr:rowOff>180974</xdr:rowOff>
    </xdr:from>
    <xdr:to>
      <xdr:col>45</xdr:col>
      <xdr:colOff>114432</xdr:colOff>
      <xdr:row>123</xdr:row>
      <xdr:rowOff>57286</xdr:rowOff>
    </xdr:to>
    <xdr:pic>
      <xdr:nvPicPr>
        <xdr:cNvPr id="15" name="Picture 14">
          <a:extLst>
            <a:ext uri="{FF2B5EF4-FFF2-40B4-BE49-F238E27FC236}">
              <a16:creationId xmlns:a16="http://schemas.microsoft.com/office/drawing/2014/main" id="{5F4AC92A-7232-4BC1-BF92-95150543B78D}"/>
            </a:ext>
          </a:extLst>
        </xdr:cNvPr>
        <xdr:cNvPicPr>
          <a:picLocks noChangeAspect="1"/>
        </xdr:cNvPicPr>
      </xdr:nvPicPr>
      <xdr:blipFill>
        <a:blip xmlns:r="http://schemas.openxmlformats.org/officeDocument/2006/relationships" r:embed="rId5"/>
        <a:stretch>
          <a:fillRect/>
        </a:stretch>
      </xdr:blipFill>
      <xdr:spPr>
        <a:xfrm>
          <a:off x="7940828" y="27841574"/>
          <a:ext cx="317479" cy="333512"/>
        </a:xfrm>
        <a:prstGeom prst="rect">
          <a:avLst/>
        </a:prstGeom>
      </xdr:spPr>
    </xdr:pic>
    <xdr:clientData/>
  </xdr:twoCellAnchor>
  <xdr:twoCellAnchor>
    <xdr:from>
      <xdr:col>44</xdr:col>
      <xdr:colOff>56029</xdr:colOff>
      <xdr:row>76</xdr:row>
      <xdr:rowOff>212911</xdr:rowOff>
    </xdr:from>
    <xdr:to>
      <xdr:col>82</xdr:col>
      <xdr:colOff>169769</xdr:colOff>
      <xdr:row>95</xdr:row>
      <xdr:rowOff>40900</xdr:rowOff>
    </xdr:to>
    <xdr:graphicFrame macro="">
      <xdr:nvGraphicFramePr>
        <xdr:cNvPr id="16" name="Chart 15">
          <a:extLst>
            <a:ext uri="{FF2B5EF4-FFF2-40B4-BE49-F238E27FC236}">
              <a16:creationId xmlns:a16="http://schemas.microsoft.com/office/drawing/2014/main" id="{EC13ED08-BA17-4A5F-B2F3-F871194091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183931</xdr:colOff>
      <xdr:row>173</xdr:row>
      <xdr:rowOff>134789</xdr:rowOff>
    </xdr:from>
    <xdr:to>
      <xdr:col>39</xdr:col>
      <xdr:colOff>38100</xdr:colOff>
      <xdr:row>175</xdr:row>
      <xdr:rowOff>51058</xdr:rowOff>
    </xdr:to>
    <mc:AlternateContent xmlns:mc="http://schemas.openxmlformats.org/markup-compatibility/2006" xmlns:a14="http://schemas.microsoft.com/office/drawing/2010/main">
      <mc:Choice Requires="a14">
        <xdr:sp macro="" textlink="">
          <xdr:nvSpPr>
            <xdr:cNvPr id="17" name="TextBox 12">
              <a:extLst>
                <a:ext uri="{FF2B5EF4-FFF2-40B4-BE49-F238E27FC236}">
                  <a16:creationId xmlns:a16="http://schemas.microsoft.com/office/drawing/2014/main" id="{C29B5133-19CE-4B1D-B6AA-03CDF5799432}"/>
                </a:ext>
              </a:extLst>
            </xdr:cNvPr>
            <xdr:cNvSpPr txBox="1"/>
          </xdr:nvSpPr>
          <xdr:spPr>
            <a:xfrm>
              <a:off x="2355631" y="39682589"/>
              <a:ext cx="4740494" cy="37346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𝑋</m:t>
                      </m:r>
                    </m:e>
                    <m:sub>
                      <m:r>
                        <a:rPr lang="en-US" sz="1000" b="0" i="1">
                          <a:latin typeface="Cambria Math"/>
                        </a:rPr>
                        <m:t>𝑒𝑓𝑓</m:t>
                      </m:r>
                    </m:sub>
                  </m:sSub>
                  <m:r>
                    <a:rPr lang="en-US" sz="1000" b="0" i="1">
                      <a:latin typeface="Cambria Math"/>
                      <a:ea typeface="Cambria Math"/>
                    </a:rPr>
                    <m:t>= </m:t>
                  </m:r>
                  <m:f>
                    <m:fPr>
                      <m:ctrlPr>
                        <a:rPr lang="en-US" sz="1000" b="0" i="1">
                          <a:latin typeface="Cambria Math" panose="02040503050406030204" pitchFamily="18" charset="0"/>
                          <a:ea typeface="Cambria Math"/>
                        </a:rPr>
                      </m:ctrlPr>
                    </m:fPr>
                    <m:num>
                      <m:sSup>
                        <m:sSupPr>
                          <m:ctrlPr>
                            <a:rPr lang="en-US" sz="1000" b="0" i="1">
                              <a:solidFill>
                                <a:schemeClr val="tx1"/>
                              </a:solidFill>
                              <a:effectLst/>
                              <a:latin typeface="Cambria Math" panose="02040503050406030204" pitchFamily="18" charset="0"/>
                            </a:rPr>
                          </m:ctrlPr>
                        </m:sSupPr>
                        <m:e>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𝑘𝑉</m:t>
                              </m:r>
                            </m:e>
                            <m:sub>
                              <m:r>
                                <a:rPr lang="en-US" sz="1000" b="0" i="1">
                                  <a:solidFill>
                                    <a:schemeClr val="tx1"/>
                                  </a:solidFill>
                                  <a:effectLst/>
                                  <a:latin typeface="Cambria Math"/>
                                </a:rPr>
                                <m:t>𝐿𝐿𝑆𝑌𝑆</m:t>
                              </m:r>
                            </m:sub>
                          </m:sSub>
                        </m:e>
                        <m:sup>
                          <m:r>
                            <a:rPr lang="en-US" sz="1000" b="0" i="1">
                              <a:solidFill>
                                <a:schemeClr val="tx1"/>
                              </a:solidFill>
                              <a:effectLst/>
                              <a:latin typeface="Cambria Math"/>
                            </a:rPr>
                            <m:t>2</m:t>
                          </m:r>
                        </m:sup>
                      </m:sSup>
                    </m:num>
                    <m:den>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𝑄</m:t>
                          </m:r>
                        </m:e>
                        <m:sub>
                          <m:r>
                            <a:rPr lang="en-US" sz="1000" b="0" i="1">
                              <a:solidFill>
                                <a:schemeClr val="tx1"/>
                              </a:solidFill>
                              <a:effectLst/>
                              <a:latin typeface="Cambria Math"/>
                            </a:rPr>
                            <m:t>𝑒𝑓𝑓</m:t>
                          </m:r>
                        </m:sub>
                      </m:sSub>
                    </m:den>
                  </m:f>
                </m:oMath>
              </a14:m>
              <a:r>
                <a:rPr lang="en-US" sz="1000" b="0"/>
                <a:t> (ohms) = </a:t>
              </a:r>
              <a14:m>
                <m:oMath xmlns:m="http://schemas.openxmlformats.org/officeDocument/2006/math">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rPr>
                          </m:ctrlPr>
                        </m:sSupPr>
                        <m:e>
                          <m:r>
                            <a:rPr lang="en-US" sz="1000" b="0" i="1">
                              <a:latin typeface="Cambria Math"/>
                            </a:rPr>
                            <m:t>13</m:t>
                          </m:r>
                          <m:r>
                            <a:rPr lang="en-US" sz="1000" b="0" i="1">
                              <a:latin typeface="Cambria Math"/>
                            </a:rPr>
                            <m:t>.</m:t>
                          </m:r>
                          <m:r>
                            <a:rPr lang="en-US" sz="1000" b="0" i="1">
                              <a:latin typeface="Cambria Math"/>
                            </a:rPr>
                            <m:t>8</m:t>
                          </m:r>
                        </m:e>
                        <m:sup>
                          <m:r>
                            <a:rPr lang="en-US" sz="1000" i="1">
                              <a:latin typeface="Cambria Math"/>
                            </a:rPr>
                            <m:t>2</m:t>
                          </m:r>
                        </m:sup>
                      </m:sSup>
                    </m:num>
                    <m:den>
                      <m:r>
                        <a:rPr lang="en-US" sz="1000" b="0" i="1">
                          <a:latin typeface="Cambria Math" panose="02040503050406030204" pitchFamily="18" charset="0"/>
                        </a:rPr>
                        <m:t>1</m:t>
                      </m:r>
                      <m:r>
                        <a:rPr lang="en-US" sz="1000" b="0" i="1">
                          <a:latin typeface="Cambria Math" panose="02040503050406030204" pitchFamily="18" charset="0"/>
                        </a:rPr>
                        <m:t>.</m:t>
                      </m:r>
                      <m:r>
                        <a:rPr lang="en-US" sz="1000" b="0" i="1">
                          <a:latin typeface="Cambria Math" panose="02040503050406030204" pitchFamily="18" charset="0"/>
                        </a:rPr>
                        <m:t>0</m:t>
                      </m:r>
                      <m:r>
                        <a:rPr lang="en-US" sz="1000" i="1">
                          <a:latin typeface="Cambria Math"/>
                        </a:rPr>
                        <m:t> </m:t>
                      </m:r>
                    </m:den>
                  </m:f>
                  <m:r>
                    <a:rPr lang="en-US" sz="1000" b="0" i="1">
                      <a:latin typeface="Cambria Math"/>
                    </a:rPr>
                    <m:t>=</m:t>
                  </m:r>
                  <m:r>
                    <a:rPr lang="en-US" sz="1000" b="0" i="1">
                      <a:latin typeface="Cambria Math" panose="02040503050406030204" pitchFamily="18" charset="0"/>
                    </a:rPr>
                    <m:t>190</m:t>
                  </m:r>
                  <m:r>
                    <a:rPr lang="en-US" sz="1000" b="0" i="1">
                      <a:latin typeface="Cambria Math" panose="02040503050406030204" pitchFamily="18" charset="0"/>
                    </a:rPr>
                    <m:t>.</m:t>
                  </m:r>
                  <m:r>
                    <a:rPr lang="en-US" sz="1000" b="0" i="1">
                      <a:latin typeface="Cambria Math" panose="02040503050406030204" pitchFamily="18" charset="0"/>
                    </a:rPr>
                    <m:t>4</m:t>
                  </m:r>
                  <m:r>
                    <a:rPr lang="en-US" sz="1000" b="0" i="1">
                      <a:latin typeface="Cambria Math"/>
                    </a:rPr>
                    <m:t> (</m:t>
                  </m:r>
                  <m:r>
                    <a:rPr lang="en-US" sz="1000" b="0" i="1">
                      <a:latin typeface="Cambria Math"/>
                    </a:rPr>
                    <m:t>𝑜</m:t>
                  </m:r>
                  <m:r>
                    <a:rPr lang="en-US" sz="1000" b="0" i="1">
                      <a:latin typeface="Cambria Math"/>
                    </a:rPr>
                    <m:t>h</m:t>
                  </m:r>
                  <m:r>
                    <a:rPr lang="en-US" sz="1000" b="0" i="1">
                      <a:latin typeface="Cambria Math"/>
                    </a:rPr>
                    <m:t>𝑚𝑠</m:t>
                  </m:r>
                  <m:r>
                    <a:rPr lang="en-US" sz="1000" b="0" i="1">
                      <a:latin typeface="Cambria Math"/>
                    </a:rPr>
                    <m:t>)</m:t>
                  </m:r>
                </m:oMath>
              </a14:m>
              <a:r>
                <a:rPr lang="en-US" sz="1000" b="0"/>
                <a:t> </a:t>
              </a:r>
            </a:p>
          </xdr:txBody>
        </xdr:sp>
      </mc:Choice>
      <mc:Fallback xmlns="">
        <xdr:sp macro="" textlink="">
          <xdr:nvSpPr>
            <xdr:cNvPr id="17" name="TextBox 12">
              <a:extLst>
                <a:ext uri="{FF2B5EF4-FFF2-40B4-BE49-F238E27FC236}">
                  <a16:creationId xmlns:a16="http://schemas.microsoft.com/office/drawing/2014/main" id="{C29B5133-19CE-4B1D-B6AA-03CDF5799432}"/>
                </a:ext>
              </a:extLst>
            </xdr:cNvPr>
            <xdr:cNvSpPr txBox="1"/>
          </xdr:nvSpPr>
          <xdr:spPr>
            <a:xfrm>
              <a:off x="2355631" y="39682589"/>
              <a:ext cx="4740494" cy="37346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a:t>
              </a:r>
              <a:r>
                <a:rPr lang="en-US" sz="1000" b="0" i="0">
                  <a:latin typeface="Cambria Math"/>
                </a:rPr>
                <a:t>𝑒𝑓𝑓</a:t>
              </a:r>
              <a:r>
                <a:rPr lang="en-US" sz="1000" b="0" i="0">
                  <a:latin typeface="Cambria Math"/>
                  <a:ea typeface="Cambria Math"/>
                </a:rPr>
                <a:t>= </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𝑘𝑉</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𝐿𝐿𝑆𝑌𝑆</a:t>
              </a:r>
              <a:r>
                <a:rPr lang="en-US" sz="1000" b="0" i="0">
                  <a:solidFill>
                    <a:schemeClr val="tx1"/>
                  </a:solidFill>
                  <a:effectLst/>
                  <a:latin typeface="Cambria Math" panose="02040503050406030204" pitchFamily="18" charset="0"/>
                </a:rPr>
                <a:t>〗^</a:t>
              </a:r>
              <a:r>
                <a:rPr lang="en-US" sz="1000" b="0" i="0">
                  <a:solidFill>
                    <a:schemeClr val="tx1"/>
                  </a:solidFill>
                  <a:effectLst/>
                  <a:latin typeface="Cambria Math"/>
                </a:rPr>
                <a:t>2</a:t>
              </a:r>
              <a:r>
                <a:rPr lang="en-US" sz="1000" b="0" i="0">
                  <a:solidFill>
                    <a:schemeClr val="tx1"/>
                  </a:solidFill>
                  <a:effectLst/>
                  <a:latin typeface="Cambria Math" panose="02040503050406030204" pitchFamily="18" charset="0"/>
                  <a:ea typeface="Cambria Math"/>
                </a:rPr>
                <a:t>/</a:t>
              </a:r>
              <a:r>
                <a:rPr lang="en-US" sz="1000" b="0" i="0">
                  <a:solidFill>
                    <a:schemeClr val="tx1"/>
                  </a:solidFill>
                  <a:effectLst/>
                  <a:latin typeface="Cambria Math"/>
                </a:rPr>
                <a:t>𝑄</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𝑒𝑓𝑓</a:t>
              </a:r>
              <a:r>
                <a:rPr lang="en-US" sz="1000" b="0" i="0">
                  <a:solidFill>
                    <a:schemeClr val="tx1"/>
                  </a:solidFill>
                  <a:effectLst/>
                  <a:latin typeface="Cambria Math" panose="02040503050406030204" pitchFamily="18" charset="0"/>
                </a:rPr>
                <a:t> </a:t>
              </a:r>
              <a:r>
                <a:rPr lang="en-US" sz="1000" b="0"/>
                <a:t> (ohms) = </a:t>
              </a:r>
              <a:r>
                <a:rPr lang="en-US" sz="1000" i="0">
                  <a:latin typeface="Cambria Math" panose="02040503050406030204" pitchFamily="18" charset="0"/>
                </a:rPr>
                <a:t>〖</a:t>
              </a:r>
              <a:r>
                <a:rPr lang="en-US" sz="1000" b="0" i="0">
                  <a:latin typeface="Cambria Math"/>
                </a:rPr>
                <a:t>13.8</a:t>
              </a:r>
              <a:r>
                <a:rPr lang="en-US" sz="1000" b="0" i="0">
                  <a:latin typeface="Cambria Math" panose="02040503050406030204" pitchFamily="18" charset="0"/>
                </a:rPr>
                <a:t>〗^</a:t>
              </a:r>
              <a:r>
                <a:rPr lang="en-US" sz="1000" i="0">
                  <a:latin typeface="Cambria Math"/>
                </a:rPr>
                <a:t>2</a:t>
              </a:r>
              <a:r>
                <a:rPr lang="en-US" sz="1000" i="0">
                  <a:latin typeface="Cambria Math" panose="02040503050406030204" pitchFamily="18" charset="0"/>
                  <a:ea typeface="Cambria Math"/>
                </a:rPr>
                <a:t>/(</a:t>
              </a:r>
              <a:r>
                <a:rPr lang="en-US" sz="1000" b="0" i="0">
                  <a:latin typeface="Cambria Math" panose="02040503050406030204" pitchFamily="18" charset="0"/>
                </a:rPr>
                <a:t>1.0</a:t>
              </a:r>
              <a:r>
                <a:rPr lang="en-US" sz="1000" i="0">
                  <a:latin typeface="Cambria Math"/>
                </a:rPr>
                <a:t> </a:t>
              </a:r>
              <a:r>
                <a:rPr lang="en-US" sz="1000" i="0">
                  <a:latin typeface="Cambria Math" panose="02040503050406030204" pitchFamily="18" charset="0"/>
                  <a:ea typeface="Cambria Math"/>
                </a:rPr>
                <a:t>)</a:t>
              </a:r>
              <a:r>
                <a:rPr lang="en-US" sz="1000" b="0" i="0">
                  <a:latin typeface="Cambria Math"/>
                </a:rPr>
                <a:t>=</a:t>
              </a:r>
              <a:r>
                <a:rPr lang="en-US" sz="1000" b="0" i="0">
                  <a:latin typeface="Cambria Math" panose="02040503050406030204" pitchFamily="18" charset="0"/>
                </a:rPr>
                <a:t>190.4</a:t>
              </a:r>
              <a:r>
                <a:rPr lang="en-US" sz="1000" b="0" i="0">
                  <a:latin typeface="Cambria Math"/>
                </a:rPr>
                <a:t> (𝑜ℎ𝑚𝑠)</a:t>
              </a:r>
              <a:r>
                <a:rPr lang="en-US" sz="1000" b="0"/>
                <a:t> </a:t>
              </a:r>
            </a:p>
          </xdr:txBody>
        </xdr:sp>
      </mc:Fallback>
    </mc:AlternateContent>
    <xdr:clientData/>
  </xdr:twoCellAnchor>
  <xdr:twoCellAnchor>
    <xdr:from>
      <xdr:col>12</xdr:col>
      <xdr:colOff>183931</xdr:colOff>
      <xdr:row>174</xdr:row>
      <xdr:rowOff>199601</xdr:rowOff>
    </xdr:from>
    <xdr:to>
      <xdr:col>41</xdr:col>
      <xdr:colOff>152400</xdr:colOff>
      <xdr:row>176</xdr:row>
      <xdr:rowOff>77333</xdr:rowOff>
    </xdr:to>
    <mc:AlternateContent xmlns:mc="http://schemas.openxmlformats.org/markup-compatibility/2006" xmlns:a14="http://schemas.microsoft.com/office/drawing/2010/main">
      <mc:Choice Requires="a14">
        <xdr:sp macro="" textlink="">
          <xdr:nvSpPr>
            <xdr:cNvPr id="18" name="TextBox 15">
              <a:extLst>
                <a:ext uri="{FF2B5EF4-FFF2-40B4-BE49-F238E27FC236}">
                  <a16:creationId xmlns:a16="http://schemas.microsoft.com/office/drawing/2014/main" id="{6B2536A8-632A-43BB-9A0B-904A6660E80A}"/>
                </a:ext>
              </a:extLst>
            </xdr:cNvPr>
            <xdr:cNvSpPr txBox="1"/>
          </xdr:nvSpPr>
          <xdr:spPr>
            <a:xfrm>
              <a:off x="2355631" y="39976001"/>
              <a:ext cx="5216744" cy="3349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i="1">
                          <a:latin typeface="Cambria Math" panose="02040503050406030204" pitchFamily="18" charset="0"/>
                        </a:rPr>
                      </m:ctrlPr>
                    </m:sSubPr>
                    <m:e>
                      <m:r>
                        <a:rPr lang="en-US" sz="1000" b="0" i="1">
                          <a:latin typeface="Cambria Math"/>
                        </a:rPr>
                        <m:t>𝑋</m:t>
                      </m:r>
                    </m:e>
                    <m:sub>
                      <m:r>
                        <a:rPr lang="en-US" sz="1000" b="0" i="1">
                          <a:latin typeface="Cambria Math"/>
                        </a:rPr>
                        <m:t>𝐶</m:t>
                      </m:r>
                    </m:sub>
                  </m:sSub>
                  <m:r>
                    <a:rPr lang="en-US" sz="1000" i="1">
                      <a:latin typeface="Cambria Math"/>
                      <a:ea typeface="Cambria Math"/>
                    </a:rPr>
                    <m:t>=</m:t>
                  </m:r>
                  <m:d>
                    <m:dPr>
                      <m:ctrlPr>
                        <a:rPr lang="en-US" sz="1000" i="1">
                          <a:latin typeface="Cambria Math" panose="02040503050406030204" pitchFamily="18" charset="0"/>
                          <a:ea typeface="Cambria Math"/>
                        </a:rPr>
                      </m:ctrlPr>
                    </m:dPr>
                    <m:e>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ea typeface="Cambria Math"/>
                                </a:rPr>
                              </m:ctrlPr>
                            </m:sSupPr>
                            <m:e>
                              <m:r>
                                <a:rPr lang="en-US" sz="1000" b="0" i="1">
                                  <a:latin typeface="Cambria Math"/>
                                  <a:ea typeface="Cambria Math"/>
                                </a:rPr>
                                <m:t>h</m:t>
                              </m:r>
                            </m:e>
                            <m:sup>
                              <m:r>
                                <a:rPr lang="en-US" sz="1000" b="0" i="1">
                                  <a:latin typeface="Cambria Math"/>
                                  <a:ea typeface="Cambria Math"/>
                                </a:rPr>
                                <m:t>2</m:t>
                              </m:r>
                            </m:sup>
                          </m:sSup>
                        </m:num>
                        <m:den>
                          <m:sSup>
                            <m:sSupPr>
                              <m:ctrlPr>
                                <a:rPr lang="en-US" sz="1000" i="1">
                                  <a:latin typeface="Cambria Math" panose="02040503050406030204" pitchFamily="18" charset="0"/>
                                  <a:ea typeface="Cambria Math"/>
                                </a:rPr>
                              </m:ctrlPr>
                            </m:sSupPr>
                            <m:e>
                              <m:r>
                                <a:rPr lang="en-US" sz="1000" b="0" i="1">
                                  <a:latin typeface="Cambria Math"/>
                                  <a:ea typeface="Cambria Math"/>
                                </a:rPr>
                                <m:t>h</m:t>
                              </m:r>
                            </m:e>
                            <m:sup>
                              <m:r>
                                <a:rPr lang="en-US" sz="1000" b="0" i="1">
                                  <a:latin typeface="Cambria Math"/>
                                  <a:ea typeface="Cambria Math"/>
                                </a:rPr>
                                <m:t>2</m:t>
                              </m:r>
                            </m:sup>
                          </m:sSup>
                          <m:r>
                            <a:rPr lang="en-US" sz="1000" b="0" i="1">
                              <a:latin typeface="Cambria Math"/>
                              <a:ea typeface="Cambria Math"/>
                            </a:rPr>
                            <m:t>−</m:t>
                          </m:r>
                          <m:r>
                            <a:rPr lang="en-US" sz="1000" b="0" i="1">
                              <a:latin typeface="Cambria Math"/>
                              <a:ea typeface="Cambria Math"/>
                            </a:rPr>
                            <m:t>1</m:t>
                          </m:r>
                        </m:den>
                      </m:f>
                    </m:e>
                  </m:d>
                  <m:sSub>
                    <m:sSubPr>
                      <m:ctrlPr>
                        <a:rPr lang="en-US" sz="100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𝑒𝑓𝑓</m:t>
                      </m:r>
                    </m:sub>
                  </m:sSub>
                </m:oMath>
              </a14:m>
              <a:r>
                <a:rPr lang="en-US" sz="1000"/>
                <a:t> (ohms) = </a:t>
              </a:r>
              <a14:m>
                <m:oMath xmlns:m="http://schemas.openxmlformats.org/officeDocument/2006/math">
                  <m:d>
                    <m:dPr>
                      <m:ctrlPr>
                        <a:rPr lang="en-US" sz="1000" i="1">
                          <a:latin typeface="Cambria Math" panose="02040503050406030204" pitchFamily="18" charset="0"/>
                          <a:ea typeface="Cambria Math"/>
                        </a:rPr>
                      </m:ctrlPr>
                    </m:dPr>
                    <m:e>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ea typeface="Cambria Math"/>
                                </a:rPr>
                              </m:ctrlPr>
                            </m:sSupPr>
                            <m:e>
                              <m:r>
                                <a:rPr lang="en-US" sz="1000" b="0" i="1">
                                  <a:latin typeface="Cambria Math"/>
                                  <a:ea typeface="Cambria Math"/>
                                </a:rPr>
                                <m:t>4</m:t>
                              </m:r>
                              <m:r>
                                <a:rPr lang="en-US" sz="1000" b="0" i="1">
                                  <a:latin typeface="Cambria Math"/>
                                  <a:ea typeface="Cambria Math"/>
                                </a:rPr>
                                <m:t>.</m:t>
                              </m:r>
                              <m:r>
                                <a:rPr lang="en-US" sz="1000" b="0" i="1">
                                  <a:latin typeface="Cambria Math"/>
                                  <a:ea typeface="Cambria Math"/>
                                </a:rPr>
                                <m:t>7</m:t>
                              </m:r>
                            </m:e>
                            <m:sup>
                              <m:r>
                                <a:rPr lang="en-US" sz="1000" i="1">
                                  <a:latin typeface="Cambria Math"/>
                                  <a:ea typeface="Cambria Math"/>
                                </a:rPr>
                                <m:t>2</m:t>
                              </m:r>
                            </m:sup>
                          </m:sSup>
                        </m:num>
                        <m:den>
                          <m:sSup>
                            <m:sSupPr>
                              <m:ctrlPr>
                                <a:rPr lang="en-US" sz="1000" i="1">
                                  <a:latin typeface="Cambria Math" panose="02040503050406030204" pitchFamily="18" charset="0"/>
                                  <a:ea typeface="Cambria Math"/>
                                </a:rPr>
                              </m:ctrlPr>
                            </m:sSupPr>
                            <m:e>
                              <m:r>
                                <a:rPr lang="en-US" sz="1000" b="0" i="1">
                                  <a:latin typeface="Cambria Math"/>
                                  <a:ea typeface="Cambria Math"/>
                                </a:rPr>
                                <m:t>4</m:t>
                              </m:r>
                              <m:r>
                                <a:rPr lang="en-US" sz="1000" b="0" i="1">
                                  <a:latin typeface="Cambria Math"/>
                                  <a:ea typeface="Cambria Math"/>
                                </a:rPr>
                                <m:t>.</m:t>
                              </m:r>
                              <m:r>
                                <a:rPr lang="en-US" sz="1000" b="0" i="1">
                                  <a:latin typeface="Cambria Math"/>
                                  <a:ea typeface="Cambria Math"/>
                                </a:rPr>
                                <m:t>7</m:t>
                              </m:r>
                            </m:e>
                            <m:sup>
                              <m:r>
                                <a:rPr lang="en-US" sz="1000" i="1">
                                  <a:latin typeface="Cambria Math"/>
                                  <a:ea typeface="Cambria Math"/>
                                </a:rPr>
                                <m:t>2</m:t>
                              </m:r>
                            </m:sup>
                          </m:sSup>
                          <m:r>
                            <a:rPr lang="en-US" sz="1000" i="1">
                              <a:latin typeface="Cambria Math"/>
                              <a:ea typeface="Cambria Math"/>
                            </a:rPr>
                            <m:t>−</m:t>
                          </m:r>
                          <m:r>
                            <a:rPr lang="en-US" sz="1000" i="1">
                              <a:latin typeface="Cambria Math"/>
                              <a:ea typeface="Cambria Math"/>
                            </a:rPr>
                            <m:t>1</m:t>
                          </m:r>
                        </m:den>
                      </m:f>
                    </m:e>
                  </m:d>
                </m:oMath>
              </a14:m>
              <a:r>
                <a:rPr lang="en-US" sz="1000"/>
                <a:t> 190.4 (ohms)=199.4 (ohms)</a:t>
              </a:r>
            </a:p>
          </xdr:txBody>
        </xdr:sp>
      </mc:Choice>
      <mc:Fallback xmlns="">
        <xdr:sp macro="" textlink="">
          <xdr:nvSpPr>
            <xdr:cNvPr id="18" name="TextBox 15">
              <a:extLst>
                <a:ext uri="{FF2B5EF4-FFF2-40B4-BE49-F238E27FC236}">
                  <a16:creationId xmlns:a16="http://schemas.microsoft.com/office/drawing/2014/main" id="{6B2536A8-632A-43BB-9A0B-904A6660E80A}"/>
                </a:ext>
              </a:extLst>
            </xdr:cNvPr>
            <xdr:cNvSpPr txBox="1"/>
          </xdr:nvSpPr>
          <xdr:spPr>
            <a:xfrm>
              <a:off x="2355631" y="39976001"/>
              <a:ext cx="5216744" cy="3349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a:t>
              </a:r>
              <a:r>
                <a:rPr lang="en-US" sz="1000" b="0" i="0">
                  <a:latin typeface="Cambria Math"/>
                </a:rPr>
                <a:t>𝐶</a:t>
              </a:r>
              <a:r>
                <a:rPr lang="en-US" sz="1000" i="0">
                  <a:latin typeface="Cambria Math"/>
                  <a:ea typeface="Cambria Math"/>
                </a:rPr>
                <a:t>=</a:t>
              </a:r>
              <a:r>
                <a:rPr lang="en-US" sz="1000" i="0">
                  <a:latin typeface="Cambria Math" panose="02040503050406030204" pitchFamily="18" charset="0"/>
                  <a:ea typeface="Cambria Math"/>
                </a:rPr>
                <a:t>(</a:t>
              </a:r>
              <a:r>
                <a:rPr lang="en-US" sz="1000" b="0" i="0">
                  <a:latin typeface="Cambria Math"/>
                  <a:ea typeface="Cambria Math"/>
                </a:rPr>
                <a:t>ℎ</a:t>
              </a:r>
              <a:r>
                <a:rPr lang="en-US" sz="1000" b="0" i="0">
                  <a:latin typeface="Cambria Math" panose="02040503050406030204" pitchFamily="18" charset="0"/>
                  <a:ea typeface="Cambria Math"/>
                </a:rPr>
                <a:t>^</a:t>
              </a:r>
              <a:r>
                <a:rPr lang="en-US" sz="1000" b="0" i="0">
                  <a:latin typeface="Cambria Math"/>
                  <a:ea typeface="Cambria Math"/>
                </a:rPr>
                <a:t>2</a:t>
              </a:r>
              <a:r>
                <a:rPr lang="en-US" sz="1000" b="0" i="0">
                  <a:latin typeface="Cambria Math" panose="02040503050406030204" pitchFamily="18" charset="0"/>
                  <a:ea typeface="Cambria Math"/>
                </a:rPr>
                <a:t>/(</a:t>
              </a:r>
              <a:r>
                <a:rPr lang="en-US" sz="1000" b="0" i="0">
                  <a:latin typeface="Cambria Math"/>
                  <a:ea typeface="Cambria Math"/>
                </a:rPr>
                <a:t>ℎ</a:t>
              </a:r>
              <a:r>
                <a:rPr lang="en-US" sz="1000" b="0" i="0">
                  <a:latin typeface="Cambria Math" panose="02040503050406030204" pitchFamily="18" charset="0"/>
                  <a:ea typeface="Cambria Math"/>
                </a:rPr>
                <a:t>^</a:t>
              </a:r>
              <a:r>
                <a:rPr lang="en-US" sz="1000" b="0" i="0">
                  <a:latin typeface="Cambria Math"/>
                  <a:ea typeface="Cambria Math"/>
                </a:rPr>
                <a:t>2−1</a:t>
              </a:r>
              <a:r>
                <a:rPr lang="en-US" sz="1000" b="0" i="0">
                  <a:latin typeface="Cambria Math" panose="02040503050406030204" pitchFamily="18" charset="0"/>
                  <a:ea typeface="Cambria Math"/>
                </a:rPr>
                <a:t>)) </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𝑒𝑓𝑓</a:t>
              </a:r>
              <a:r>
                <a:rPr lang="en-US" sz="1000"/>
                <a:t> (ohms) = </a:t>
              </a:r>
              <a:r>
                <a:rPr lang="en-US" sz="1000" i="0">
                  <a:latin typeface="Cambria Math" panose="02040503050406030204" pitchFamily="18" charset="0"/>
                  <a:ea typeface="Cambria Math"/>
                </a:rPr>
                <a:t>(〖</a:t>
              </a:r>
              <a:r>
                <a:rPr lang="en-US" sz="1000" b="0" i="0">
                  <a:latin typeface="Cambria Math"/>
                  <a:ea typeface="Cambria Math"/>
                </a:rPr>
                <a:t>4.7</a:t>
              </a:r>
              <a:r>
                <a:rPr lang="en-US" sz="1000" b="0" i="0">
                  <a:latin typeface="Cambria Math" panose="02040503050406030204" pitchFamily="18" charset="0"/>
                  <a:ea typeface="Cambria Math"/>
                </a:rPr>
                <a:t>〗^</a:t>
              </a:r>
              <a:r>
                <a:rPr lang="en-US" sz="1000" i="0">
                  <a:latin typeface="Cambria Math"/>
                  <a:ea typeface="Cambria Math"/>
                </a:rPr>
                <a:t>2</a:t>
              </a:r>
              <a:r>
                <a:rPr lang="en-US" sz="1000" i="0">
                  <a:latin typeface="Cambria Math" panose="02040503050406030204" pitchFamily="18" charset="0"/>
                  <a:ea typeface="Cambria Math"/>
                </a:rPr>
                <a:t>/(〖</a:t>
              </a:r>
              <a:r>
                <a:rPr lang="en-US" sz="1000" b="0" i="0">
                  <a:latin typeface="Cambria Math"/>
                  <a:ea typeface="Cambria Math"/>
                </a:rPr>
                <a:t>4.7</a:t>
              </a:r>
              <a:r>
                <a:rPr lang="en-US" sz="1000" b="0" i="0">
                  <a:latin typeface="Cambria Math" panose="02040503050406030204" pitchFamily="18" charset="0"/>
                  <a:ea typeface="Cambria Math"/>
                </a:rPr>
                <a:t>〗^</a:t>
              </a:r>
              <a:r>
                <a:rPr lang="en-US" sz="1000" i="0">
                  <a:latin typeface="Cambria Math"/>
                  <a:ea typeface="Cambria Math"/>
                </a:rPr>
                <a:t>2−1</a:t>
              </a:r>
              <a:r>
                <a:rPr lang="en-US" sz="1000" i="0">
                  <a:latin typeface="Cambria Math" panose="02040503050406030204" pitchFamily="18" charset="0"/>
                  <a:ea typeface="Cambria Math"/>
                </a:rPr>
                <a:t>))</a:t>
              </a:r>
              <a:r>
                <a:rPr lang="en-US" sz="1000"/>
                <a:t> 190.4 (ohms)=199.4 (ohms)</a:t>
              </a:r>
            </a:p>
          </xdr:txBody>
        </xdr:sp>
      </mc:Fallback>
    </mc:AlternateContent>
    <xdr:clientData/>
  </xdr:twoCellAnchor>
  <xdr:twoCellAnchor>
    <xdr:from>
      <xdr:col>12</xdr:col>
      <xdr:colOff>183931</xdr:colOff>
      <xdr:row>176</xdr:row>
      <xdr:rowOff>109703</xdr:rowOff>
    </xdr:from>
    <xdr:to>
      <xdr:col>36</xdr:col>
      <xdr:colOff>133350</xdr:colOff>
      <xdr:row>177</xdr:row>
      <xdr:rowOff>192022</xdr:rowOff>
    </xdr:to>
    <mc:AlternateContent xmlns:mc="http://schemas.openxmlformats.org/markup-compatibility/2006" xmlns:a14="http://schemas.microsoft.com/office/drawing/2010/main">
      <mc:Choice Requires="a14">
        <xdr:sp macro="" textlink="">
          <xdr:nvSpPr>
            <xdr:cNvPr id="19" name="TextBox 17">
              <a:extLst>
                <a:ext uri="{FF2B5EF4-FFF2-40B4-BE49-F238E27FC236}">
                  <a16:creationId xmlns:a16="http://schemas.microsoft.com/office/drawing/2014/main" id="{D569ECD6-531A-46A8-BE36-1B303B8AC6AE}"/>
                </a:ext>
              </a:extLst>
            </xdr:cNvPr>
            <xdr:cNvSpPr txBox="1"/>
          </xdr:nvSpPr>
          <xdr:spPr>
            <a:xfrm>
              <a:off x="2355631" y="40343303"/>
              <a:ext cx="4292819" cy="31091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i="1">
                          <a:latin typeface="Cambria Math" panose="02040503050406030204" pitchFamily="18" charset="0"/>
                        </a:rPr>
                      </m:ctrlPr>
                    </m:sSubPr>
                    <m:e>
                      <m:r>
                        <a:rPr lang="en-US" sz="1000" b="0" i="1">
                          <a:latin typeface="Cambria Math"/>
                        </a:rPr>
                        <m:t>𝑋</m:t>
                      </m:r>
                    </m:e>
                    <m:sub>
                      <m:r>
                        <a:rPr lang="en-US" sz="1000" b="0" i="1">
                          <a:latin typeface="Cambria Math"/>
                        </a:rPr>
                        <m:t>𝐿</m:t>
                      </m:r>
                    </m:sub>
                  </m:sSub>
                  <m:r>
                    <a:rPr lang="en-US" sz="1000" i="1">
                      <a:latin typeface="Cambria Math"/>
                      <a:ea typeface="Cambria Math"/>
                    </a:rPr>
                    <m:t>=</m:t>
                  </m:r>
                  <m:f>
                    <m:fPr>
                      <m:ctrlPr>
                        <a:rPr lang="en-US" sz="1000" i="1">
                          <a:latin typeface="Cambria Math" panose="02040503050406030204" pitchFamily="18" charset="0"/>
                          <a:ea typeface="Cambria Math"/>
                        </a:rPr>
                      </m:ctrlPr>
                    </m:fPr>
                    <m:num>
                      <m:sSub>
                        <m:sSubPr>
                          <m:ctrlPr>
                            <a:rPr lang="en-US" sz="100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𝐶</m:t>
                          </m:r>
                        </m:sub>
                      </m:sSub>
                    </m:num>
                    <m:den>
                      <m:sSup>
                        <m:sSupPr>
                          <m:ctrlPr>
                            <a:rPr lang="en-US" sz="1000" i="1">
                              <a:latin typeface="Cambria Math" panose="02040503050406030204" pitchFamily="18" charset="0"/>
                              <a:ea typeface="Cambria Math"/>
                            </a:rPr>
                          </m:ctrlPr>
                        </m:sSupPr>
                        <m:e>
                          <m:r>
                            <a:rPr lang="en-US" sz="1000" b="0" i="1">
                              <a:latin typeface="Cambria Math"/>
                              <a:ea typeface="Cambria Math"/>
                            </a:rPr>
                            <m:t>h</m:t>
                          </m:r>
                        </m:e>
                        <m:sup>
                          <m:r>
                            <a:rPr lang="en-US" sz="1000" b="0" i="1">
                              <a:latin typeface="Cambria Math"/>
                              <a:ea typeface="Cambria Math"/>
                            </a:rPr>
                            <m:t>2</m:t>
                          </m:r>
                        </m:sup>
                      </m:sSup>
                    </m:den>
                  </m:f>
                </m:oMath>
              </a14:m>
              <a:r>
                <a:rPr lang="en-US" sz="1000"/>
                <a:t> =</a:t>
              </a:r>
              <a14:m>
                <m:oMath xmlns:m="http://schemas.openxmlformats.org/officeDocument/2006/math">
                  <m:r>
                    <a:rPr lang="en-US" sz="1000" b="0" i="0">
                      <a:latin typeface="Cambria Math"/>
                      <a:ea typeface="Cambria Math"/>
                    </a:rPr>
                    <m:t> </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199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4</m:t>
                      </m:r>
                    </m:num>
                    <m:den>
                      <m:sSup>
                        <m:sSupPr>
                          <m:ctrlPr>
                            <a:rPr lang="en-US" sz="1000" i="1">
                              <a:latin typeface="Cambria Math" panose="02040503050406030204" pitchFamily="18" charset="0"/>
                              <a:ea typeface="Cambria Math"/>
                            </a:rPr>
                          </m:ctrlPr>
                        </m:sSupPr>
                        <m:e>
                          <m:r>
                            <a:rPr lang="en-US" sz="1000" b="0" i="1">
                              <a:latin typeface="Cambria Math"/>
                              <a:ea typeface="Cambria Math"/>
                            </a:rPr>
                            <m:t>4</m:t>
                          </m:r>
                          <m:r>
                            <a:rPr lang="en-US" sz="1000" b="0" i="1">
                              <a:latin typeface="Cambria Math"/>
                              <a:ea typeface="Cambria Math"/>
                            </a:rPr>
                            <m:t>.</m:t>
                          </m:r>
                          <m:r>
                            <a:rPr lang="en-US" sz="1000" b="0" i="1">
                              <a:latin typeface="Cambria Math"/>
                              <a:ea typeface="Cambria Math"/>
                            </a:rPr>
                            <m:t>7</m:t>
                          </m:r>
                        </m:e>
                        <m:sup>
                          <m:r>
                            <a:rPr lang="en-US" sz="1000" i="1">
                              <a:latin typeface="Cambria Math"/>
                              <a:ea typeface="Cambria Math"/>
                            </a:rPr>
                            <m:t>2</m:t>
                          </m:r>
                        </m:sup>
                      </m:sSup>
                    </m:den>
                  </m:f>
                  <m:r>
                    <a:rPr lang="en-US" sz="1000" b="0" i="1">
                      <a:latin typeface="Cambria Math"/>
                      <a:ea typeface="Cambria Math"/>
                    </a:rPr>
                    <m:t>=</m:t>
                  </m:r>
                  <m:r>
                    <a:rPr lang="en-US" sz="1000" b="0" i="1">
                      <a:latin typeface="Cambria Math" panose="02040503050406030204" pitchFamily="18" charset="0"/>
                      <a:ea typeface="Cambria Math"/>
                    </a:rPr>
                    <m:t>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03</m:t>
                  </m:r>
                  <m:r>
                    <a:rPr lang="en-US" sz="1000" b="0" i="1">
                      <a:latin typeface="Cambria Math"/>
                      <a:ea typeface="Cambria Math"/>
                    </a:rPr>
                    <m:t> </m:t>
                  </m:r>
                  <m:r>
                    <a:rPr lang="en-US" sz="1000" b="0" i="1">
                      <a:latin typeface="Cambria Math"/>
                      <a:ea typeface="Cambria Math"/>
                    </a:rPr>
                    <m:t>𝑜</m:t>
                  </m:r>
                  <m:r>
                    <a:rPr lang="en-US" sz="1000" b="0" i="1">
                      <a:latin typeface="Cambria Math"/>
                      <a:ea typeface="Cambria Math"/>
                    </a:rPr>
                    <m:t>h</m:t>
                  </m:r>
                  <m:r>
                    <a:rPr lang="en-US" sz="1000" b="0" i="1">
                      <a:latin typeface="Cambria Math"/>
                      <a:ea typeface="Cambria Math"/>
                    </a:rPr>
                    <m:t>𝑚𝑠</m:t>
                  </m:r>
                </m:oMath>
              </a14:m>
              <a:endParaRPr lang="en-US" sz="1000"/>
            </a:p>
          </xdr:txBody>
        </xdr:sp>
      </mc:Choice>
      <mc:Fallback xmlns="">
        <xdr:sp macro="" textlink="">
          <xdr:nvSpPr>
            <xdr:cNvPr id="19" name="TextBox 17">
              <a:extLst>
                <a:ext uri="{FF2B5EF4-FFF2-40B4-BE49-F238E27FC236}">
                  <a16:creationId xmlns:a16="http://schemas.microsoft.com/office/drawing/2014/main" id="{D569ECD6-531A-46A8-BE36-1B303B8AC6AE}"/>
                </a:ext>
              </a:extLst>
            </xdr:cNvPr>
            <xdr:cNvSpPr txBox="1"/>
          </xdr:nvSpPr>
          <xdr:spPr>
            <a:xfrm>
              <a:off x="2355631" y="40343303"/>
              <a:ext cx="4292819" cy="31091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a:t>
              </a:r>
              <a:r>
                <a:rPr lang="en-US" sz="1000" b="0" i="0">
                  <a:latin typeface="Cambria Math"/>
                </a:rPr>
                <a:t>𝐿</a:t>
              </a:r>
              <a:r>
                <a:rPr lang="en-US" sz="1000" i="0">
                  <a:latin typeface="Cambria Math"/>
                  <a:ea typeface="Cambria Math"/>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𝐶</a:t>
              </a:r>
              <a:r>
                <a:rPr lang="en-US" sz="1000" b="0" i="0">
                  <a:latin typeface="Cambria Math" panose="02040503050406030204" pitchFamily="18" charset="0"/>
                  <a:ea typeface="Cambria Math"/>
                </a:rPr>
                <a:t>/</a:t>
              </a:r>
              <a:r>
                <a:rPr lang="en-US" sz="1000" b="0" i="0">
                  <a:latin typeface="Cambria Math"/>
                  <a:ea typeface="Cambria Math"/>
                </a:rPr>
                <a:t>ℎ</a:t>
              </a:r>
              <a:r>
                <a:rPr lang="en-US" sz="1000" b="0" i="0">
                  <a:latin typeface="Cambria Math" panose="02040503050406030204" pitchFamily="18" charset="0"/>
                  <a:ea typeface="Cambria Math"/>
                </a:rPr>
                <a:t>^</a:t>
              </a:r>
              <a:r>
                <a:rPr lang="en-US" sz="1000" b="0" i="0">
                  <a:latin typeface="Cambria Math"/>
                  <a:ea typeface="Cambria Math"/>
                </a:rPr>
                <a:t>2</a:t>
              </a:r>
              <a:r>
                <a:rPr lang="en-US" sz="1000" b="0" i="0">
                  <a:latin typeface="Cambria Math" panose="02040503050406030204" pitchFamily="18" charset="0"/>
                  <a:ea typeface="Cambria Math"/>
                </a:rPr>
                <a:t> </a:t>
              </a:r>
              <a:r>
                <a:rPr lang="en-US" sz="1000"/>
                <a:t> =</a:t>
              </a:r>
              <a:r>
                <a:rPr lang="en-US" sz="1000" b="0" i="0">
                  <a:latin typeface="Cambria Math"/>
                  <a:ea typeface="Cambria Math"/>
                </a:rPr>
                <a:t> </a:t>
              </a:r>
              <a:r>
                <a:rPr lang="en-US" sz="1000" b="0" i="0">
                  <a:latin typeface="Cambria Math" panose="02040503050406030204" pitchFamily="18" charset="0"/>
                  <a:ea typeface="Cambria Math"/>
                </a:rPr>
                <a:t> 199.4/〖</a:t>
              </a:r>
              <a:r>
                <a:rPr lang="en-US" sz="1000" b="0" i="0">
                  <a:latin typeface="Cambria Math"/>
                  <a:ea typeface="Cambria Math"/>
                </a:rPr>
                <a:t>4.7</a:t>
              </a:r>
              <a:r>
                <a:rPr lang="en-US" sz="1000" b="0" i="0">
                  <a:latin typeface="Cambria Math" panose="02040503050406030204" pitchFamily="18" charset="0"/>
                  <a:ea typeface="Cambria Math"/>
                </a:rPr>
                <a:t>〗^</a:t>
              </a:r>
              <a:r>
                <a:rPr lang="en-US" sz="1000" i="0">
                  <a:latin typeface="Cambria Math"/>
                  <a:ea typeface="Cambria Math"/>
                </a:rPr>
                <a:t>2</a:t>
              </a:r>
              <a:r>
                <a:rPr lang="en-US" sz="1000" i="0">
                  <a:latin typeface="Cambria Math" panose="02040503050406030204" pitchFamily="18" charset="0"/>
                  <a:ea typeface="Cambria Math"/>
                </a:rPr>
                <a:t> </a:t>
              </a:r>
              <a:r>
                <a:rPr lang="en-US" sz="1000" b="0" i="0">
                  <a:latin typeface="Cambria Math"/>
                  <a:ea typeface="Cambria Math"/>
                </a:rPr>
                <a:t>=</a:t>
              </a:r>
              <a:r>
                <a:rPr lang="en-US" sz="1000" b="0" i="0">
                  <a:latin typeface="Cambria Math" panose="02040503050406030204" pitchFamily="18" charset="0"/>
                  <a:ea typeface="Cambria Math"/>
                </a:rPr>
                <a:t>9.03</a:t>
              </a:r>
              <a:r>
                <a:rPr lang="en-US" sz="1000" b="0" i="0">
                  <a:latin typeface="Cambria Math"/>
                  <a:ea typeface="Cambria Math"/>
                </a:rPr>
                <a:t> 𝑜ℎ𝑚𝑠</a:t>
              </a:r>
              <a:endParaRPr lang="en-US" sz="1000"/>
            </a:p>
          </xdr:txBody>
        </xdr:sp>
      </mc:Fallback>
    </mc:AlternateContent>
    <xdr:clientData/>
  </xdr:twoCellAnchor>
  <xdr:twoCellAnchor>
    <xdr:from>
      <xdr:col>13</xdr:col>
      <xdr:colOff>19782</xdr:colOff>
      <xdr:row>178</xdr:row>
      <xdr:rowOff>66420</xdr:rowOff>
    </xdr:from>
    <xdr:to>
      <xdr:col>44</xdr:col>
      <xdr:colOff>117230</xdr:colOff>
      <xdr:row>179</xdr:row>
      <xdr:rowOff>167515</xdr:rowOff>
    </xdr:to>
    <mc:AlternateContent xmlns:mc="http://schemas.openxmlformats.org/markup-compatibility/2006" xmlns:a14="http://schemas.microsoft.com/office/drawing/2010/main">
      <mc:Choice Requires="a14">
        <xdr:sp macro="" textlink="">
          <xdr:nvSpPr>
            <xdr:cNvPr id="20" name="TextBox 2">
              <a:extLst>
                <a:ext uri="{FF2B5EF4-FFF2-40B4-BE49-F238E27FC236}">
                  <a16:creationId xmlns:a16="http://schemas.microsoft.com/office/drawing/2014/main" id="{D0DA3534-42A2-4CCB-8AEB-1D6E41FD32C1}"/>
                </a:ext>
              </a:extLst>
            </xdr:cNvPr>
            <xdr:cNvSpPr txBox="1"/>
          </xdr:nvSpPr>
          <xdr:spPr>
            <a:xfrm>
              <a:off x="2372457" y="40757220"/>
              <a:ext cx="5707673" cy="32969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r>
                    <a:rPr lang="en-US" sz="1000" b="0" i="1">
                      <a:latin typeface="Cambria Math"/>
                    </a:rPr>
                    <m:t>𝐻</m:t>
                  </m:r>
                  <m:d>
                    <m:dPr>
                      <m:ctrlPr>
                        <a:rPr lang="en-US" sz="1000" b="0" i="1">
                          <a:latin typeface="Cambria Math" panose="02040503050406030204" pitchFamily="18" charset="0"/>
                        </a:rPr>
                      </m:ctrlPr>
                    </m:dPr>
                    <m:e>
                      <m:r>
                        <a:rPr lang="en-US" sz="1000" b="0" i="1">
                          <a:latin typeface="Cambria Math"/>
                        </a:rPr>
                        <m:t>𝑖𝑛𝑑𝑢𝑐𝑡𝑎𝑛𝑐𝑒</m:t>
                      </m:r>
                    </m:e>
                  </m:d>
                  <m:r>
                    <a:rPr lang="en-US" sz="1000" b="0" i="1">
                      <a:latin typeface="Cambria Math"/>
                      <a:ea typeface="Cambria Math"/>
                    </a:rPr>
                    <m:t>=</m:t>
                  </m:r>
                  <m:f>
                    <m:fPr>
                      <m:ctrlPr>
                        <a:rPr lang="en-US" sz="1000" b="0" i="1">
                          <a:latin typeface="Cambria Math" panose="02040503050406030204" pitchFamily="18" charset="0"/>
                          <a:ea typeface="Cambria Math"/>
                        </a:rPr>
                      </m:ctrlPr>
                    </m:fPr>
                    <m:num>
                      <m:sSub>
                        <m:sSubPr>
                          <m:ctrlPr>
                            <a:rPr lang="en-US" sz="1000" b="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𝐿</m:t>
                          </m:r>
                        </m:sub>
                      </m:sSub>
                    </m:num>
                    <m:den>
                      <m:r>
                        <a:rPr lang="en-US" sz="1000" b="0" i="1">
                          <a:latin typeface="Cambria Math"/>
                          <a:ea typeface="Cambria Math"/>
                        </a:rPr>
                        <m:t>2</m:t>
                      </m:r>
                      <m:r>
                        <a:rPr lang="en-US" sz="1000" b="0" i="1">
                          <a:latin typeface="Cambria Math"/>
                          <a:ea typeface="Cambria Math"/>
                        </a:rPr>
                        <m:t>𝜋</m:t>
                      </m:r>
                      <m:r>
                        <a:rPr lang="en-US" sz="1000" b="0" i="1">
                          <a:latin typeface="Cambria Math"/>
                          <a:ea typeface="Cambria Math"/>
                        </a:rPr>
                        <m:t>𝑓</m:t>
                      </m:r>
                    </m:den>
                  </m:f>
                  <m:r>
                    <a:rPr lang="en-US" sz="1000" b="0" i="1">
                      <a:latin typeface="Cambria Math"/>
                      <a:ea typeface="Cambria Math"/>
                    </a:rPr>
                    <m:t>×</m:t>
                  </m:r>
                  <m:r>
                    <a:rPr lang="en-US" sz="1000" b="0" i="1">
                      <a:latin typeface="Cambria Math"/>
                      <a:ea typeface="Cambria Math"/>
                    </a:rPr>
                    <m:t>1000</m:t>
                  </m:r>
                  <m:d>
                    <m:dPr>
                      <m:ctrlPr>
                        <a:rPr lang="en-US" sz="1000" b="0" i="1">
                          <a:latin typeface="Cambria Math" panose="02040503050406030204" pitchFamily="18" charset="0"/>
                          <a:ea typeface="Cambria Math"/>
                        </a:rPr>
                      </m:ctrlPr>
                    </m:dPr>
                    <m:e>
                      <m:r>
                        <a:rPr lang="en-US" sz="1000" b="0" i="1">
                          <a:latin typeface="Cambria Math"/>
                          <a:ea typeface="Cambria Math"/>
                        </a:rPr>
                        <m:t>𝑚𝐻</m:t>
                      </m:r>
                    </m:e>
                  </m:d>
                  <m:r>
                    <a:rPr lang="en-US" sz="1000" b="0" i="1">
                      <a:latin typeface="Cambria Math"/>
                      <a:ea typeface="Cambria Math"/>
                    </a:rPr>
                    <m:t>=</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03</m:t>
                      </m:r>
                    </m:num>
                    <m:den>
                      <m:r>
                        <a:rPr lang="en-US" sz="1000" i="1">
                          <a:latin typeface="Cambria Math"/>
                          <a:ea typeface="Cambria Math"/>
                        </a:rPr>
                        <m:t>2</m:t>
                      </m:r>
                      <m:r>
                        <a:rPr lang="en-US" sz="1000" i="1">
                          <a:latin typeface="Cambria Math"/>
                          <a:ea typeface="Cambria Math"/>
                        </a:rPr>
                        <m:t>𝜋</m:t>
                      </m:r>
                      <m:r>
                        <a:rPr lang="en-US" sz="1000" b="0" i="1">
                          <a:latin typeface="Cambria Math"/>
                          <a:ea typeface="Cambria Math"/>
                        </a:rPr>
                        <m:t> </m:t>
                      </m:r>
                      <m:r>
                        <a:rPr lang="en-US" sz="1000" b="0" i="1">
                          <a:latin typeface="Cambria Math"/>
                          <a:ea typeface="Cambria Math"/>
                        </a:rPr>
                        <m:t>60</m:t>
                      </m:r>
                    </m:den>
                  </m:f>
                  <m:r>
                    <a:rPr lang="en-US" sz="1000" i="1">
                      <a:latin typeface="Cambria Math"/>
                      <a:ea typeface="Cambria Math"/>
                    </a:rPr>
                    <m:t>×</m:t>
                  </m:r>
                  <m:r>
                    <a:rPr lang="en-US" sz="1000" i="1">
                      <a:latin typeface="Cambria Math"/>
                      <a:ea typeface="Cambria Math"/>
                    </a:rPr>
                    <m:t>1000</m:t>
                  </m:r>
                  <m:d>
                    <m:dPr>
                      <m:ctrlPr>
                        <a:rPr lang="en-US" sz="1000" i="1">
                          <a:latin typeface="Cambria Math" panose="02040503050406030204" pitchFamily="18" charset="0"/>
                          <a:ea typeface="Cambria Math"/>
                        </a:rPr>
                      </m:ctrlPr>
                    </m:dPr>
                    <m:e>
                      <m:r>
                        <a:rPr lang="en-US" sz="1000" i="1">
                          <a:latin typeface="Cambria Math"/>
                          <a:ea typeface="Cambria Math"/>
                        </a:rPr>
                        <m:t>𝑚𝐻</m:t>
                      </m:r>
                    </m:e>
                  </m:d>
                </m:oMath>
              </a14:m>
              <a:r>
                <a:rPr lang="en-US" sz="1000"/>
                <a:t>= 23.95 mH</a:t>
              </a:r>
            </a:p>
          </xdr:txBody>
        </xdr:sp>
      </mc:Choice>
      <mc:Fallback xmlns="">
        <xdr:sp macro="" textlink="">
          <xdr:nvSpPr>
            <xdr:cNvPr id="20" name="TextBox 2">
              <a:extLst>
                <a:ext uri="{FF2B5EF4-FFF2-40B4-BE49-F238E27FC236}">
                  <a16:creationId xmlns:a16="http://schemas.microsoft.com/office/drawing/2014/main" id="{D0DA3534-42A2-4CCB-8AEB-1D6E41FD32C1}"/>
                </a:ext>
              </a:extLst>
            </xdr:cNvPr>
            <xdr:cNvSpPr txBox="1"/>
          </xdr:nvSpPr>
          <xdr:spPr>
            <a:xfrm>
              <a:off x="2372457" y="40757220"/>
              <a:ext cx="5707673" cy="32969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𝐻</a:t>
              </a:r>
              <a:r>
                <a:rPr lang="en-US" sz="1000" b="0" i="0">
                  <a:latin typeface="Cambria Math" panose="02040503050406030204" pitchFamily="18" charset="0"/>
                </a:rPr>
                <a:t>(</a:t>
              </a:r>
              <a:r>
                <a:rPr lang="en-US" sz="1000" b="0" i="0">
                  <a:latin typeface="Cambria Math"/>
                </a:rPr>
                <a:t>𝑖𝑛𝑑𝑢𝑐𝑡𝑎𝑛𝑐𝑒</a:t>
              </a:r>
              <a:r>
                <a:rPr lang="en-US" sz="1000" b="0" i="0">
                  <a:latin typeface="Cambria Math" panose="02040503050406030204" pitchFamily="18" charset="0"/>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𝐿</a:t>
              </a:r>
              <a:r>
                <a:rPr lang="en-US" sz="1000" b="0" i="0">
                  <a:latin typeface="Cambria Math" panose="02040503050406030204" pitchFamily="18" charset="0"/>
                  <a:ea typeface="Cambria Math"/>
                </a:rPr>
                <a:t>/</a:t>
              </a:r>
              <a:r>
                <a:rPr lang="en-US" sz="1000" b="0" i="0">
                  <a:latin typeface="Cambria Math"/>
                  <a:ea typeface="Cambria Math"/>
                </a:rPr>
                <a:t>2𝜋𝑓×1000</a:t>
              </a:r>
              <a:r>
                <a:rPr lang="en-US" sz="1000" b="0" i="0">
                  <a:latin typeface="Cambria Math" panose="02040503050406030204" pitchFamily="18" charset="0"/>
                  <a:ea typeface="Cambria Math"/>
                </a:rPr>
                <a:t>(</a:t>
              </a:r>
              <a:r>
                <a:rPr lang="en-US" sz="1000" b="0" i="0">
                  <a:latin typeface="Cambria Math"/>
                  <a:ea typeface="Cambria Math"/>
                </a:rPr>
                <a:t>𝑚𝐻</a:t>
              </a:r>
              <a:r>
                <a:rPr lang="en-US" sz="1000" b="0" i="0">
                  <a:latin typeface="Cambria Math" panose="02040503050406030204" pitchFamily="18" charset="0"/>
                  <a:ea typeface="Cambria Math"/>
                </a:rPr>
                <a:t>)</a:t>
              </a:r>
              <a:r>
                <a:rPr lang="en-US" sz="1000" b="0" i="0">
                  <a:latin typeface="Cambria Math"/>
                  <a:ea typeface="Cambria Math"/>
                </a:rPr>
                <a:t>=</a:t>
              </a:r>
              <a:r>
                <a:rPr lang="en-US" sz="1000" b="0" i="0">
                  <a:latin typeface="Cambria Math" panose="02040503050406030204" pitchFamily="18" charset="0"/>
                  <a:ea typeface="Cambria Math"/>
                </a:rPr>
                <a:t>9.03/(</a:t>
              </a:r>
              <a:r>
                <a:rPr lang="en-US" sz="1000" i="0">
                  <a:latin typeface="Cambria Math"/>
                  <a:ea typeface="Cambria Math"/>
                </a:rPr>
                <a:t>2𝜋</a:t>
              </a:r>
              <a:r>
                <a:rPr lang="en-US" sz="1000" b="0" i="0">
                  <a:latin typeface="Cambria Math"/>
                  <a:ea typeface="Cambria Math"/>
                </a:rPr>
                <a:t> 60</a:t>
              </a:r>
              <a:r>
                <a:rPr lang="en-US" sz="1000" b="0" i="0">
                  <a:latin typeface="Cambria Math" panose="02040503050406030204" pitchFamily="18" charset="0"/>
                  <a:ea typeface="Cambria Math"/>
                </a:rPr>
                <a:t>)</a:t>
              </a:r>
              <a:r>
                <a:rPr lang="en-US" sz="1000" i="0">
                  <a:latin typeface="Cambria Math"/>
                  <a:ea typeface="Cambria Math"/>
                </a:rPr>
                <a:t>×1000</a:t>
              </a:r>
              <a:r>
                <a:rPr lang="en-US" sz="1000" i="0">
                  <a:latin typeface="Cambria Math" panose="02040503050406030204" pitchFamily="18" charset="0"/>
                  <a:ea typeface="Cambria Math"/>
                </a:rPr>
                <a:t>(</a:t>
              </a:r>
              <a:r>
                <a:rPr lang="en-US" sz="1000" i="0">
                  <a:latin typeface="Cambria Math"/>
                  <a:ea typeface="Cambria Math"/>
                </a:rPr>
                <a:t>𝑚𝐻</a:t>
              </a:r>
              <a:r>
                <a:rPr lang="en-US" sz="1000" i="0">
                  <a:latin typeface="Cambria Math" panose="02040503050406030204" pitchFamily="18" charset="0"/>
                  <a:ea typeface="Cambria Math"/>
                </a:rPr>
                <a:t>)</a:t>
              </a:r>
              <a:r>
                <a:rPr lang="en-US" sz="1000"/>
                <a:t>= 23.95 mH</a:t>
              </a:r>
            </a:p>
          </xdr:txBody>
        </xdr:sp>
      </mc:Fallback>
    </mc:AlternateContent>
    <xdr:clientData/>
  </xdr:twoCellAnchor>
  <xdr:twoCellAnchor>
    <xdr:from>
      <xdr:col>13</xdr:col>
      <xdr:colOff>15412</xdr:colOff>
      <xdr:row>184</xdr:row>
      <xdr:rowOff>48803</xdr:rowOff>
    </xdr:from>
    <xdr:to>
      <xdr:col>37</xdr:col>
      <xdr:colOff>139237</xdr:colOff>
      <xdr:row>186</xdr:row>
      <xdr:rowOff>52552</xdr:rowOff>
    </xdr:to>
    <mc:AlternateContent xmlns:mc="http://schemas.openxmlformats.org/markup-compatibility/2006" xmlns:a14="http://schemas.microsoft.com/office/drawing/2010/main">
      <mc:Choice Requires="a14">
        <xdr:sp macro="" textlink="">
          <xdr:nvSpPr>
            <xdr:cNvPr id="21" name="TextBox 13">
              <a:extLst>
                <a:ext uri="{FF2B5EF4-FFF2-40B4-BE49-F238E27FC236}">
                  <a16:creationId xmlns:a16="http://schemas.microsoft.com/office/drawing/2014/main" id="{F30C6E32-3F85-4491-A28E-D7E6D37A8B96}"/>
                </a:ext>
              </a:extLst>
            </xdr:cNvPr>
            <xdr:cNvSpPr txBox="1"/>
          </xdr:nvSpPr>
          <xdr:spPr>
            <a:xfrm>
              <a:off x="2368087" y="42111203"/>
              <a:ext cx="4467225" cy="46094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800" b="0" i="1">
                            <a:latin typeface="Cambria Math" panose="02040503050406030204" pitchFamily="18" charset="0"/>
                          </a:rPr>
                        </m:ctrlPr>
                      </m:sSubPr>
                      <m:e>
                        <m:r>
                          <a:rPr lang="en-US" sz="800" b="0" i="1">
                            <a:latin typeface="Cambria Math"/>
                          </a:rPr>
                          <m:t>𝐼</m:t>
                        </m:r>
                      </m:e>
                      <m:sub>
                        <m:r>
                          <a:rPr lang="en-US" sz="800" b="0" i="1">
                            <a:latin typeface="Cambria Math"/>
                          </a:rPr>
                          <m:t>𝐹𝐼𝐿𝑇𝐸𝑅</m:t>
                        </m:r>
                        <m:r>
                          <a:rPr lang="en-US" sz="800" b="0" i="1">
                            <a:latin typeface="Cambria Math"/>
                          </a:rPr>
                          <m:t> </m:t>
                        </m:r>
                        <m:r>
                          <a:rPr lang="en-US" sz="800" b="0" i="1">
                            <a:latin typeface="Cambria Math"/>
                          </a:rPr>
                          <m:t>𝑅𝑀𝑆</m:t>
                        </m:r>
                        <m:r>
                          <a:rPr lang="en-US" sz="800" b="0" i="1">
                            <a:latin typeface="Cambria Math"/>
                          </a:rPr>
                          <m:t> </m:t>
                        </m:r>
                        <m:r>
                          <a:rPr lang="en-US" sz="800" b="0" i="1">
                            <a:latin typeface="Cambria Math"/>
                          </a:rPr>
                          <m:t>𝐶𝑈𝑅𝑅𝐸𝑁𝑇</m:t>
                        </m:r>
                      </m:sub>
                    </m:sSub>
                    <m:r>
                      <a:rPr lang="en-US" sz="800" b="0" i="1">
                        <a:latin typeface="Cambria Math"/>
                        <a:ea typeface="Cambria Math"/>
                      </a:rPr>
                      <m:t>=</m:t>
                    </m:r>
                    <m:rad>
                      <m:radPr>
                        <m:degHide m:val="on"/>
                        <m:ctrlPr>
                          <a:rPr lang="en-US" sz="800" b="0" i="1">
                            <a:latin typeface="Cambria Math" panose="02040503050406030204" pitchFamily="18" charset="0"/>
                            <a:ea typeface="Cambria Math"/>
                          </a:rPr>
                        </m:ctrlPr>
                      </m:radPr>
                      <m:deg/>
                      <m:e>
                        <m:nary>
                          <m:naryPr>
                            <m:chr m:val="∑"/>
                            <m:ctrlPr>
                              <a:rPr lang="en-US" sz="800" b="0" i="1">
                                <a:latin typeface="Cambria Math" panose="02040503050406030204" pitchFamily="18" charset="0"/>
                                <a:ea typeface="Cambria Math"/>
                              </a:rPr>
                            </m:ctrlPr>
                          </m:naryPr>
                          <m:sub>
                            <m:r>
                              <m:rPr>
                                <m:brk m:alnAt="23"/>
                              </m:rPr>
                              <a:rPr lang="en-US" sz="800" b="0" i="1">
                                <a:latin typeface="Cambria Math"/>
                                <a:ea typeface="Cambria Math"/>
                              </a:rPr>
                              <m:t>𝑛</m:t>
                            </m:r>
                            <m:r>
                              <a:rPr lang="en-US" sz="800" b="0" i="1">
                                <a:latin typeface="Cambria Math"/>
                                <a:ea typeface="Cambria Math"/>
                              </a:rPr>
                              <m:t>=</m:t>
                            </m:r>
                            <m:r>
                              <a:rPr lang="en-US" sz="800" b="0" i="1">
                                <a:latin typeface="Cambria Math"/>
                                <a:ea typeface="Cambria Math"/>
                              </a:rPr>
                              <m:t>1</m:t>
                            </m:r>
                          </m:sub>
                          <m:sup>
                            <m:r>
                              <a:rPr lang="en-US" sz="800" b="0" i="1">
                                <a:latin typeface="Cambria Math"/>
                                <a:ea typeface="Cambria Math"/>
                              </a:rPr>
                              <m:t>𝑛</m:t>
                            </m:r>
                          </m:sup>
                          <m:e>
                            <m:sSubSup>
                              <m:sSubSupPr>
                                <m:ctrlPr>
                                  <a:rPr lang="en-US" sz="1000" b="0" i="1" kern="1200">
                                    <a:solidFill>
                                      <a:schemeClr val="tx1"/>
                                    </a:solidFill>
                                    <a:effectLst/>
                                    <a:latin typeface="Cambria Math" panose="02040503050406030204" pitchFamily="18" charset="0"/>
                                    <a:ea typeface="+mn-ea"/>
                                    <a:cs typeface="+mn-cs"/>
                                  </a:rPr>
                                </m:ctrlPr>
                              </m:sSubSupPr>
                              <m:e>
                                <m:r>
                                  <a:rPr lang="en-US" sz="1000" b="0" i="1" kern="1200">
                                    <a:solidFill>
                                      <a:schemeClr val="tx1"/>
                                    </a:solidFill>
                                    <a:effectLst/>
                                    <a:latin typeface="Cambria Math" panose="02040503050406030204" pitchFamily="18" charset="0"/>
                                    <a:ea typeface="+mn-ea"/>
                                    <a:cs typeface="+mn-cs"/>
                                  </a:rPr>
                                  <m:t>𝐼</m:t>
                                </m:r>
                              </m:e>
                              <m:sub>
                                <m:r>
                                  <a:rPr lang="en-US" sz="1000" b="0" i="1" kern="1200">
                                    <a:solidFill>
                                      <a:schemeClr val="tx1"/>
                                    </a:solidFill>
                                    <a:effectLst/>
                                    <a:latin typeface="Cambria Math" panose="02040503050406030204" pitchFamily="18" charset="0"/>
                                    <a:ea typeface="+mn-ea"/>
                                    <a:cs typeface="+mn-cs"/>
                                  </a:rPr>
                                  <m:t>𝑛</m:t>
                                </m:r>
                              </m:sub>
                              <m:sup>
                                <m:r>
                                  <a:rPr lang="en-US" sz="1000" b="0" i="1" kern="1200">
                                    <a:solidFill>
                                      <a:schemeClr val="tx1"/>
                                    </a:solidFill>
                                    <a:effectLst/>
                                    <a:latin typeface="Cambria Math" panose="02040503050406030204" pitchFamily="18" charset="0"/>
                                    <a:ea typeface="+mn-ea"/>
                                    <a:cs typeface="+mn-cs"/>
                                  </a:rPr>
                                  <m:t>2</m:t>
                                </m:r>
                              </m:sup>
                            </m:sSubSup>
                          </m:e>
                        </m:nary>
                      </m:e>
                    </m:rad>
                  </m:oMath>
                </m:oMathPara>
              </a14:m>
              <a:endParaRPr lang="en-US" sz="800" b="0"/>
            </a:p>
          </xdr:txBody>
        </xdr:sp>
      </mc:Choice>
      <mc:Fallback xmlns="">
        <xdr:sp macro="" textlink="">
          <xdr:nvSpPr>
            <xdr:cNvPr id="21" name="TextBox 13">
              <a:extLst>
                <a:ext uri="{FF2B5EF4-FFF2-40B4-BE49-F238E27FC236}">
                  <a16:creationId xmlns:a16="http://schemas.microsoft.com/office/drawing/2014/main" id="{F30C6E32-3F85-4491-A28E-D7E6D37A8B96}"/>
                </a:ext>
              </a:extLst>
            </xdr:cNvPr>
            <xdr:cNvSpPr txBox="1"/>
          </xdr:nvSpPr>
          <xdr:spPr>
            <a:xfrm>
              <a:off x="2368087" y="42111203"/>
              <a:ext cx="4467225" cy="46094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800" b="0" i="0">
                  <a:latin typeface="Cambria Math"/>
                </a:rPr>
                <a:t>𝐼</a:t>
              </a:r>
              <a:r>
                <a:rPr lang="en-US" sz="800" b="0" i="0">
                  <a:latin typeface="Cambria Math" panose="02040503050406030204" pitchFamily="18" charset="0"/>
                </a:rPr>
                <a:t>_(</a:t>
              </a:r>
              <a:r>
                <a:rPr lang="en-US" sz="800" b="0" i="0">
                  <a:latin typeface="Cambria Math"/>
                </a:rPr>
                <a:t>𝐹𝐼𝐿𝑇𝐸𝑅 𝑅𝑀𝑆 𝐶𝑈𝑅𝑅𝐸𝑁𝑇</a:t>
              </a:r>
              <a:r>
                <a:rPr lang="en-US" sz="800" b="0" i="0">
                  <a:latin typeface="Cambria Math" panose="02040503050406030204" pitchFamily="18" charset="0"/>
                </a:rPr>
                <a:t>)</a:t>
              </a:r>
              <a:r>
                <a:rPr lang="en-US" sz="800" b="0" i="0">
                  <a:latin typeface="Cambria Math"/>
                  <a:ea typeface="Cambria Math"/>
                </a:rPr>
                <a:t>=</a:t>
              </a:r>
              <a:r>
                <a:rPr lang="en-US" sz="800" b="0" i="0">
                  <a:latin typeface="Cambria Math" panose="02040503050406030204" pitchFamily="18" charset="0"/>
                  <a:ea typeface="Cambria Math"/>
                </a:rPr>
                <a:t>√(∑_(</a:t>
              </a:r>
              <a:r>
                <a:rPr lang="en-US" sz="800" b="0" i="0">
                  <a:latin typeface="Cambria Math"/>
                  <a:ea typeface="Cambria Math"/>
                </a:rPr>
                <a:t>𝑛=1</a:t>
              </a:r>
              <a:r>
                <a:rPr lang="en-US" sz="800" b="0" i="0">
                  <a:latin typeface="Cambria Math" panose="02040503050406030204" pitchFamily="18" charset="0"/>
                  <a:ea typeface="Cambria Math"/>
                </a:rPr>
                <a:t>)^</a:t>
              </a:r>
              <a:r>
                <a:rPr lang="en-US" sz="800" b="0" i="0">
                  <a:latin typeface="Cambria Math"/>
                  <a:ea typeface="Cambria Math"/>
                </a:rPr>
                <a:t>𝑛</a:t>
              </a:r>
              <a:r>
                <a:rPr lang="en-US" sz="1000" b="0" i="0" kern="1200">
                  <a:solidFill>
                    <a:schemeClr val="tx1"/>
                  </a:solidFill>
                  <a:effectLst/>
                  <a:latin typeface="Cambria Math" panose="02040503050406030204" pitchFamily="18" charset="0"/>
                  <a:ea typeface="+mn-ea"/>
                  <a:cs typeface="+mn-cs"/>
                </a:rPr>
                <a:t>▒𝐼_𝑛^2 </a:t>
              </a:r>
              <a:r>
                <a:rPr lang="en-US" sz="800" b="0" i="0" kern="1200">
                  <a:solidFill>
                    <a:schemeClr val="tx1"/>
                  </a:solidFill>
                  <a:effectLst/>
                  <a:latin typeface="Cambria Math" panose="02040503050406030204" pitchFamily="18" charset="0"/>
                  <a:ea typeface="Cambria Math"/>
                  <a:cs typeface="+mn-cs"/>
                </a:rPr>
                <a:t>)</a:t>
              </a:r>
              <a:endParaRPr lang="en-US" sz="800" b="0"/>
            </a:p>
          </xdr:txBody>
        </xdr:sp>
      </mc:Fallback>
    </mc:AlternateContent>
    <xdr:clientData/>
  </xdr:twoCellAnchor>
  <xdr:twoCellAnchor>
    <xdr:from>
      <xdr:col>13</xdr:col>
      <xdr:colOff>21981</xdr:colOff>
      <xdr:row>182</xdr:row>
      <xdr:rowOff>7304</xdr:rowOff>
    </xdr:from>
    <xdr:to>
      <xdr:col>41</xdr:col>
      <xdr:colOff>41031</xdr:colOff>
      <xdr:row>183</xdr:row>
      <xdr:rowOff>58773</xdr:rowOff>
    </xdr:to>
    <mc:AlternateContent xmlns:mc="http://schemas.openxmlformats.org/markup-compatibility/2006" xmlns:a14="http://schemas.microsoft.com/office/drawing/2010/main">
      <mc:Choice Requires="a14">
        <xdr:sp macro="" textlink="">
          <xdr:nvSpPr>
            <xdr:cNvPr id="22" name="TextBox 14">
              <a:extLst>
                <a:ext uri="{FF2B5EF4-FFF2-40B4-BE49-F238E27FC236}">
                  <a16:creationId xmlns:a16="http://schemas.microsoft.com/office/drawing/2014/main" id="{9AD8D234-B49D-47F3-B54D-CF5BD02E7CBD}"/>
                </a:ext>
              </a:extLst>
            </xdr:cNvPr>
            <xdr:cNvSpPr txBox="1"/>
          </xdr:nvSpPr>
          <xdr:spPr>
            <a:xfrm>
              <a:off x="2374656" y="41612504"/>
              <a:ext cx="5086350" cy="28006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𝐼</m:t>
                        </m:r>
                      </m:e>
                      <m:sub>
                        <m:r>
                          <a:rPr lang="en-US" sz="1000" b="0" i="1">
                            <a:latin typeface="Cambria Math"/>
                          </a:rPr>
                          <m:t>𝑅𝐴𝑇𝐸𝐷</m:t>
                        </m:r>
                        <m:r>
                          <a:rPr lang="en-US" sz="1000" b="0" i="1">
                            <a:latin typeface="Cambria Math"/>
                          </a:rPr>
                          <m:t> </m:t>
                        </m:r>
                        <m:r>
                          <a:rPr lang="en-US" sz="1000" b="0" i="1">
                            <a:latin typeface="Cambria Math"/>
                          </a:rPr>
                          <m:t>𝐹𝑈𝑁𝐷𝐴𝑀𝐸𝑁𝑇𝐴𝐿</m:t>
                        </m:r>
                      </m:sub>
                    </m:sSub>
                    <m:r>
                      <a:rPr lang="en-US" sz="1000" b="0" i="1">
                        <a:latin typeface="Cambria Math"/>
                        <a:ea typeface="Cambria Math"/>
                      </a:rPr>
                      <m:t>= </m:t>
                    </m:r>
                    <m:f>
                      <m:fPr>
                        <m:ctrlPr>
                          <a:rPr lang="en-US" sz="1000" b="0" i="1">
                            <a:latin typeface="Cambria Math" panose="02040503050406030204" pitchFamily="18" charset="0"/>
                            <a:ea typeface="Cambria Math"/>
                          </a:rPr>
                        </m:ctrlPr>
                      </m:fPr>
                      <m:num>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𝑄</m:t>
                            </m:r>
                          </m:e>
                          <m:sub>
                            <m:r>
                              <a:rPr lang="en-US" sz="1000" b="0" i="1">
                                <a:solidFill>
                                  <a:schemeClr val="tx1"/>
                                </a:solidFill>
                                <a:effectLst/>
                                <a:latin typeface="Cambria Math"/>
                              </a:rPr>
                              <m:t>𝑒𝑓𝑓</m:t>
                            </m:r>
                          </m:sub>
                        </m:sSub>
                      </m:num>
                      <m:den>
                        <m:r>
                          <a:rPr lang="en-US" sz="1000" b="0" i="1">
                            <a:latin typeface="Cambria Math"/>
                            <a:ea typeface="Cambria Math"/>
                          </a:rPr>
                          <m:t>1</m:t>
                        </m:r>
                        <m:r>
                          <a:rPr lang="en-US" sz="1000" b="0" i="1">
                            <a:latin typeface="Cambria Math"/>
                            <a:ea typeface="Cambria Math"/>
                          </a:rPr>
                          <m:t>.</m:t>
                        </m:r>
                        <m:r>
                          <a:rPr lang="en-US" sz="1000" b="0" i="1">
                            <a:latin typeface="Cambria Math"/>
                            <a:ea typeface="Cambria Math"/>
                          </a:rPr>
                          <m:t>73</m:t>
                        </m:r>
                        <m:r>
                          <a:rPr lang="en-US" sz="1000" b="0" i="1">
                            <a:latin typeface="Cambria Math"/>
                            <a:ea typeface="Cambria Math"/>
                          </a:rPr>
                          <m:t>×</m:t>
                        </m:r>
                        <m:sSub>
                          <m:sSubPr>
                            <m:ctrlPr>
                              <a:rPr lang="en-US" sz="1100" b="0" i="1" kern="1200">
                                <a:solidFill>
                                  <a:schemeClr val="tx1"/>
                                </a:solidFill>
                                <a:effectLst/>
                                <a:latin typeface="Cambria Math" panose="02040503050406030204" pitchFamily="18" charset="0"/>
                                <a:ea typeface="+mn-ea"/>
                                <a:cs typeface="+mn-cs"/>
                              </a:rPr>
                            </m:ctrlPr>
                          </m:sSubPr>
                          <m:e>
                            <m:r>
                              <a:rPr lang="en-US" sz="1100" b="0" i="1" kern="1200">
                                <a:solidFill>
                                  <a:schemeClr val="tx1"/>
                                </a:solidFill>
                                <a:effectLst/>
                                <a:latin typeface="Cambria Math" panose="02040503050406030204" pitchFamily="18" charset="0"/>
                                <a:ea typeface="+mn-ea"/>
                                <a:cs typeface="+mn-cs"/>
                              </a:rPr>
                              <m:t>𝑘𝑉</m:t>
                            </m:r>
                          </m:e>
                          <m:sub>
                            <m:r>
                              <a:rPr lang="en-US" sz="1100" b="0" i="1" kern="1200">
                                <a:solidFill>
                                  <a:schemeClr val="tx1"/>
                                </a:solidFill>
                                <a:effectLst/>
                                <a:latin typeface="Cambria Math" panose="02040503050406030204" pitchFamily="18" charset="0"/>
                                <a:ea typeface="+mn-ea"/>
                                <a:cs typeface="+mn-cs"/>
                              </a:rPr>
                              <m:t>𝐿𝐿𝑆𝑌𝑆</m:t>
                            </m:r>
                          </m:sub>
                        </m:sSub>
                      </m:den>
                    </m:f>
                    <m:r>
                      <a:rPr lang="en-US" sz="1000" b="0" i="1">
                        <a:latin typeface="Cambria Math"/>
                        <a:ea typeface="Cambria Math"/>
                      </a:rPr>
                      <m:t>×</m:t>
                    </m:r>
                    <m:r>
                      <a:rPr lang="en-US" sz="1000" b="0" i="1">
                        <a:latin typeface="Cambria Math"/>
                        <a:ea typeface="Cambria Math"/>
                      </a:rPr>
                      <m:t>1000</m:t>
                    </m:r>
                    <m:r>
                      <a:rPr lang="en-US" sz="1000" b="0" i="1">
                        <a:latin typeface="Cambria Math"/>
                        <a:ea typeface="Cambria Math"/>
                      </a:rPr>
                      <m:t>=</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1</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m:t>
                        </m:r>
                      </m:num>
                      <m:den>
                        <m:r>
                          <a:rPr lang="en-US" sz="1000" i="1">
                            <a:latin typeface="Cambria Math"/>
                            <a:ea typeface="Cambria Math"/>
                          </a:rPr>
                          <m:t>1</m:t>
                        </m:r>
                        <m:r>
                          <a:rPr lang="en-US" sz="1000" i="1">
                            <a:latin typeface="Cambria Math"/>
                            <a:ea typeface="Cambria Math"/>
                          </a:rPr>
                          <m:t>.</m:t>
                        </m:r>
                        <m:r>
                          <a:rPr lang="en-US" sz="1000" i="1">
                            <a:latin typeface="Cambria Math"/>
                            <a:ea typeface="Cambria Math"/>
                          </a:rPr>
                          <m:t>73</m:t>
                        </m:r>
                        <m:r>
                          <a:rPr lang="en-US" sz="1000" i="1">
                            <a:latin typeface="Cambria Math"/>
                            <a:ea typeface="Cambria Math"/>
                          </a:rPr>
                          <m:t>×</m:t>
                        </m:r>
                        <m:r>
                          <a:rPr lang="en-US" sz="1000" b="0" i="1">
                            <a:latin typeface="Cambria Math"/>
                            <a:ea typeface="Cambria Math"/>
                          </a:rPr>
                          <m:t>13</m:t>
                        </m:r>
                        <m:r>
                          <a:rPr lang="en-US" sz="1000" b="0" i="1">
                            <a:latin typeface="Cambria Math"/>
                            <a:ea typeface="Cambria Math"/>
                          </a:rPr>
                          <m:t>.</m:t>
                        </m:r>
                        <m:r>
                          <a:rPr lang="en-US" sz="1000" b="0" i="1">
                            <a:latin typeface="Cambria Math"/>
                            <a:ea typeface="Cambria Math"/>
                          </a:rPr>
                          <m:t>8</m:t>
                        </m:r>
                      </m:den>
                    </m:f>
                    <m:r>
                      <a:rPr lang="en-US" sz="1000" i="1">
                        <a:latin typeface="Cambria Math"/>
                        <a:ea typeface="Cambria Math"/>
                      </a:rPr>
                      <m:t>×</m:t>
                    </m:r>
                    <m:r>
                      <a:rPr lang="en-US" sz="1000" i="1">
                        <a:latin typeface="Cambria Math"/>
                        <a:ea typeface="Cambria Math"/>
                      </a:rPr>
                      <m:t>1000</m:t>
                    </m:r>
                    <m:r>
                      <a:rPr lang="en-US" sz="1000" b="0" i="1">
                        <a:latin typeface="Cambria Math"/>
                        <a:ea typeface="Cambria Math"/>
                      </a:rPr>
                      <m:t>=</m:t>
                    </m:r>
                    <m:r>
                      <a:rPr lang="en-US" sz="1000" b="0" i="1">
                        <a:latin typeface="Cambria Math" panose="02040503050406030204" pitchFamily="18" charset="0"/>
                        <a:ea typeface="Cambria Math"/>
                      </a:rPr>
                      <m:t>41</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88</m:t>
                    </m:r>
                    <m:r>
                      <a:rPr lang="en-US" sz="1000" b="0" i="1">
                        <a:latin typeface="Cambria Math"/>
                        <a:ea typeface="Cambria Math"/>
                      </a:rPr>
                      <m:t> </m:t>
                    </m:r>
                    <m:r>
                      <a:rPr lang="en-US" sz="1000" b="0" i="1">
                        <a:latin typeface="Cambria Math"/>
                        <a:ea typeface="Cambria Math"/>
                      </a:rPr>
                      <m:t>𝑎𝑚𝑝𝑠</m:t>
                    </m:r>
                  </m:oMath>
                </m:oMathPara>
              </a14:m>
              <a:endParaRPr lang="en-US" sz="1000" b="0"/>
            </a:p>
          </xdr:txBody>
        </xdr:sp>
      </mc:Choice>
      <mc:Fallback xmlns="">
        <xdr:sp macro="" textlink="">
          <xdr:nvSpPr>
            <xdr:cNvPr id="22" name="TextBox 14">
              <a:extLst>
                <a:ext uri="{FF2B5EF4-FFF2-40B4-BE49-F238E27FC236}">
                  <a16:creationId xmlns:a16="http://schemas.microsoft.com/office/drawing/2014/main" id="{9AD8D234-B49D-47F3-B54D-CF5BD02E7CBD}"/>
                </a:ext>
              </a:extLst>
            </xdr:cNvPr>
            <xdr:cNvSpPr txBox="1"/>
          </xdr:nvSpPr>
          <xdr:spPr>
            <a:xfrm>
              <a:off x="2374656" y="41612504"/>
              <a:ext cx="5086350" cy="28006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b="0" i="0">
                  <a:latin typeface="Cambria Math"/>
                </a:rPr>
                <a:t>𝐼</a:t>
              </a:r>
              <a:r>
                <a:rPr lang="en-US" sz="1000" b="0" i="0">
                  <a:latin typeface="Cambria Math" panose="02040503050406030204" pitchFamily="18" charset="0"/>
                </a:rPr>
                <a:t>_(</a:t>
              </a:r>
              <a:r>
                <a:rPr lang="en-US" sz="1000" b="0" i="0">
                  <a:latin typeface="Cambria Math"/>
                </a:rPr>
                <a:t>𝑅𝐴𝑇𝐸𝐷 𝐹𝑈𝑁𝐷𝐴𝑀𝐸𝑁𝑇𝐴𝐿</a:t>
              </a:r>
              <a:r>
                <a:rPr lang="en-US" sz="1000" b="0" i="0">
                  <a:latin typeface="Cambria Math" panose="02040503050406030204" pitchFamily="18" charset="0"/>
                </a:rPr>
                <a:t>)</a:t>
              </a:r>
              <a:r>
                <a:rPr lang="en-US" sz="1000" b="0" i="0">
                  <a:latin typeface="Cambria Math"/>
                  <a:ea typeface="Cambria Math"/>
                </a:rPr>
                <a:t>= </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𝑄</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𝑒𝑓𝑓</a:t>
              </a:r>
              <a:r>
                <a:rPr lang="en-US" sz="1000" b="0" i="0">
                  <a:solidFill>
                    <a:schemeClr val="tx1"/>
                  </a:solidFill>
                  <a:effectLst/>
                  <a:latin typeface="Cambria Math" panose="02040503050406030204" pitchFamily="18" charset="0"/>
                  <a:ea typeface="Cambria Math"/>
                </a:rPr>
                <a:t>/(</a:t>
              </a:r>
              <a:r>
                <a:rPr lang="en-US" sz="1000" b="0" i="0">
                  <a:latin typeface="Cambria Math"/>
                  <a:ea typeface="Cambria Math"/>
                </a:rPr>
                <a:t>1.73×</a:t>
              </a:r>
              <a:r>
                <a:rPr lang="en-US" sz="1100" b="0" i="0" kern="1200">
                  <a:solidFill>
                    <a:schemeClr val="tx1"/>
                  </a:solidFill>
                  <a:effectLst/>
                  <a:latin typeface="Cambria Math" panose="02040503050406030204" pitchFamily="18" charset="0"/>
                  <a:ea typeface="+mn-ea"/>
                  <a:cs typeface="+mn-cs"/>
                </a:rPr>
                <a:t>〖𝑘𝑉〗_𝐿𝐿𝑆𝑌𝑆 </a:t>
              </a:r>
              <a:r>
                <a:rPr lang="en-US" sz="1000" b="0" i="0" kern="1200">
                  <a:solidFill>
                    <a:schemeClr val="tx1"/>
                  </a:solidFill>
                  <a:effectLst/>
                  <a:latin typeface="Cambria Math" panose="02040503050406030204" pitchFamily="18" charset="0"/>
                  <a:ea typeface="Cambria Math"/>
                  <a:cs typeface="+mn-cs"/>
                </a:rPr>
                <a:t>)</a:t>
              </a:r>
              <a:r>
                <a:rPr lang="en-US" sz="1000" b="0" i="0">
                  <a:latin typeface="Cambria Math"/>
                  <a:ea typeface="Cambria Math"/>
                </a:rPr>
                <a:t>×1000=</a:t>
              </a:r>
              <a:r>
                <a:rPr lang="en-US" sz="1000" b="0" i="0">
                  <a:latin typeface="Cambria Math" panose="02040503050406030204" pitchFamily="18" charset="0"/>
                  <a:ea typeface="Cambria Math"/>
                </a:rPr>
                <a:t>1.0/(</a:t>
              </a:r>
              <a:r>
                <a:rPr lang="en-US" sz="1000" i="0">
                  <a:latin typeface="Cambria Math"/>
                  <a:ea typeface="Cambria Math"/>
                </a:rPr>
                <a:t>1.73×</a:t>
              </a:r>
              <a:r>
                <a:rPr lang="en-US" sz="1000" b="0" i="0">
                  <a:latin typeface="Cambria Math"/>
                  <a:ea typeface="Cambria Math"/>
                </a:rPr>
                <a:t>13.8</a:t>
              </a:r>
              <a:r>
                <a:rPr lang="en-US" sz="1000" b="0" i="0">
                  <a:latin typeface="Cambria Math" panose="02040503050406030204" pitchFamily="18" charset="0"/>
                  <a:ea typeface="Cambria Math"/>
                </a:rPr>
                <a:t>)</a:t>
              </a:r>
              <a:r>
                <a:rPr lang="en-US" sz="1000" i="0">
                  <a:latin typeface="Cambria Math"/>
                  <a:ea typeface="Cambria Math"/>
                </a:rPr>
                <a:t>×1000</a:t>
              </a:r>
              <a:r>
                <a:rPr lang="en-US" sz="1000" b="0" i="0">
                  <a:latin typeface="Cambria Math"/>
                  <a:ea typeface="Cambria Math"/>
                </a:rPr>
                <a:t>=</a:t>
              </a:r>
              <a:r>
                <a:rPr lang="en-US" sz="1000" b="0" i="0">
                  <a:latin typeface="Cambria Math" panose="02040503050406030204" pitchFamily="18" charset="0"/>
                  <a:ea typeface="Cambria Math"/>
                </a:rPr>
                <a:t>41.88</a:t>
              </a:r>
              <a:r>
                <a:rPr lang="en-US" sz="1000" b="0" i="0">
                  <a:latin typeface="Cambria Math"/>
                  <a:ea typeface="Cambria Math"/>
                </a:rPr>
                <a:t> 𝑎𝑚𝑝𝑠</a:t>
              </a:r>
              <a:endParaRPr lang="en-US" sz="1000" b="0"/>
            </a:p>
          </xdr:txBody>
        </xdr:sp>
      </mc:Fallback>
    </mc:AlternateContent>
    <xdr:clientData/>
  </xdr:twoCellAnchor>
  <xdr:twoCellAnchor>
    <xdr:from>
      <xdr:col>13</xdr:col>
      <xdr:colOff>19782</xdr:colOff>
      <xdr:row>179</xdr:row>
      <xdr:rowOff>184283</xdr:rowOff>
    </xdr:from>
    <xdr:to>
      <xdr:col>41</xdr:col>
      <xdr:colOff>69605</xdr:colOff>
      <xdr:row>181</xdr:row>
      <xdr:rowOff>154380</xdr:rowOff>
    </xdr:to>
    <mc:AlternateContent xmlns:mc="http://schemas.openxmlformats.org/markup-compatibility/2006" xmlns:a14="http://schemas.microsoft.com/office/drawing/2010/main">
      <mc:Choice Requires="a14">
        <xdr:sp macro="" textlink="">
          <xdr:nvSpPr>
            <xdr:cNvPr id="23" name="TextBox 3">
              <a:extLst>
                <a:ext uri="{FF2B5EF4-FFF2-40B4-BE49-F238E27FC236}">
                  <a16:creationId xmlns:a16="http://schemas.microsoft.com/office/drawing/2014/main" id="{769CE0A4-279D-4BB9-9F10-1E8F4A75A35D}"/>
                </a:ext>
              </a:extLst>
            </xdr:cNvPr>
            <xdr:cNvSpPr txBox="1"/>
          </xdr:nvSpPr>
          <xdr:spPr>
            <a:xfrm>
              <a:off x="2372457" y="41103683"/>
              <a:ext cx="5117123" cy="42729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b="0" i="1">
                            <a:latin typeface="Cambria Math" panose="02040503050406030204" pitchFamily="18" charset="0"/>
                          </a:rPr>
                        </m:ctrlPr>
                      </m:sSubPr>
                      <m:e>
                        <m:sSub>
                          <m:sSubPr>
                            <m:ctrlPr>
                              <a:rPr lang="en-US" sz="1000" b="0" i="1">
                                <a:latin typeface="Cambria Math" panose="02040503050406030204" pitchFamily="18" charset="0"/>
                              </a:rPr>
                            </m:ctrlPr>
                          </m:sSubPr>
                          <m:e>
                            <m:r>
                              <a:rPr lang="en-US" sz="1000" b="0" i="1">
                                <a:latin typeface="Cambria Math"/>
                              </a:rPr>
                              <m:t>𝑄</m:t>
                            </m:r>
                          </m:e>
                          <m:sub>
                            <m:r>
                              <a:rPr lang="en-US" sz="1000" b="0" i="1">
                                <a:latin typeface="Cambria Math"/>
                              </a:rPr>
                              <m:t>𝑅𝐴𝑇𝐸𝐷</m:t>
                            </m:r>
                            <m:r>
                              <a:rPr lang="en-US" sz="1000" b="0" i="1">
                                <a:latin typeface="Cambria Math"/>
                              </a:rPr>
                              <m:t> </m:t>
                            </m:r>
                            <m:r>
                              <a:rPr lang="en-US" sz="1000" b="0" i="1">
                                <a:latin typeface="Cambria Math"/>
                              </a:rPr>
                              <m:t>𝑃𝐸𝑅</m:t>
                            </m:r>
                            <m:r>
                              <a:rPr lang="en-US" sz="1000" b="0" i="1">
                                <a:latin typeface="Cambria Math"/>
                              </a:rPr>
                              <m:t> </m:t>
                            </m:r>
                            <m:r>
                              <a:rPr lang="en-US" sz="1000" b="0" i="1">
                                <a:latin typeface="Cambria Math"/>
                              </a:rPr>
                              <m:t>𝑃𝐻𝐴𝑆𝐸</m:t>
                            </m:r>
                            <m:r>
                              <a:rPr lang="en-US" sz="1000" b="0" i="1">
                                <a:latin typeface="Cambria Math"/>
                              </a:rPr>
                              <m:t> (</m:t>
                            </m:r>
                            <m:r>
                              <a:rPr lang="en-US" sz="1000" b="0" i="1">
                                <a:latin typeface="Cambria Math" panose="02040503050406030204" pitchFamily="18" charset="0"/>
                              </a:rPr>
                              <m:t>𝑀𝑉𝐴𝑅</m:t>
                            </m:r>
                            <m:r>
                              <a:rPr lang="en-US" sz="1000" b="0" i="1">
                                <a:latin typeface="Cambria Math"/>
                              </a:rPr>
                              <m:t>)</m:t>
                            </m:r>
                          </m:sub>
                        </m:sSub>
                        <m:r>
                          <a:rPr lang="en-US" sz="1000" b="0" i="1">
                            <a:latin typeface="Cambria Math"/>
                          </a:rPr>
                          <m:t> </m:t>
                        </m:r>
                        <m:r>
                          <a:rPr lang="en-US" sz="1000" b="0" i="1">
                            <a:latin typeface="Cambria Math"/>
                            <a:ea typeface="Cambria Math"/>
                          </a:rPr>
                          <m:t>=</m:t>
                        </m:r>
                        <m:f>
                          <m:fPr>
                            <m:ctrlPr>
                              <a:rPr lang="en-US" sz="1000" b="0" i="1">
                                <a:latin typeface="Cambria Math" panose="02040503050406030204" pitchFamily="18" charset="0"/>
                                <a:ea typeface="Cambria Math"/>
                              </a:rPr>
                            </m:ctrlPr>
                          </m:fPr>
                          <m:num>
                            <m:sSup>
                              <m:sSupPr>
                                <m:ctrlPr>
                                  <a:rPr lang="en-US" sz="1000" b="0" i="1">
                                    <a:solidFill>
                                      <a:schemeClr val="tx1"/>
                                    </a:solidFill>
                                    <a:effectLst/>
                                    <a:latin typeface="Cambria Math" panose="02040503050406030204" pitchFamily="18" charset="0"/>
                                  </a:rPr>
                                </m:ctrlPr>
                              </m:sSupPr>
                              <m:e>
                                <m:d>
                                  <m:dPr>
                                    <m:ctrlPr>
                                      <a:rPr lang="en-US" sz="1000" b="0" i="1">
                                        <a:solidFill>
                                          <a:schemeClr val="tx1"/>
                                        </a:solidFill>
                                        <a:effectLst/>
                                        <a:latin typeface="Cambria Math" panose="02040503050406030204" pitchFamily="18" charset="0"/>
                                      </a:rPr>
                                    </m:ctrlPr>
                                  </m:dPr>
                                  <m:e>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𝑉</m:t>
                                        </m:r>
                                      </m:e>
                                      <m:sub>
                                        <m:r>
                                          <a:rPr lang="en-US" sz="1000" b="0" i="1">
                                            <a:solidFill>
                                              <a:schemeClr val="tx1"/>
                                            </a:solidFill>
                                            <a:effectLst/>
                                            <a:latin typeface="Cambria Math"/>
                                          </a:rPr>
                                          <m:t>𝐶𝐴𝑃</m:t>
                                        </m:r>
                                        <m:r>
                                          <a:rPr lang="en-US" sz="1000" b="0" i="1">
                                            <a:solidFill>
                                              <a:schemeClr val="tx1"/>
                                            </a:solidFill>
                                            <a:effectLst/>
                                            <a:latin typeface="Cambria Math"/>
                                          </a:rPr>
                                          <m:t> </m:t>
                                        </m:r>
                                        <m:r>
                                          <a:rPr lang="en-US" sz="1000" b="0" i="1">
                                            <a:solidFill>
                                              <a:schemeClr val="tx1"/>
                                            </a:solidFill>
                                            <a:effectLst/>
                                            <a:latin typeface="Cambria Math"/>
                                          </a:rPr>
                                          <m:t>𝑅𝐴𝑇𝐼𝑁𝐺</m:t>
                                        </m:r>
                                      </m:sub>
                                    </m:sSub>
                                  </m:e>
                                </m:d>
                              </m:e>
                              <m:sup>
                                <m:r>
                                  <a:rPr lang="en-US" sz="1000" b="0" i="1">
                                    <a:solidFill>
                                      <a:schemeClr val="tx1"/>
                                    </a:solidFill>
                                    <a:effectLst/>
                                    <a:latin typeface="Cambria Math"/>
                                  </a:rPr>
                                  <m:t>2</m:t>
                                </m:r>
                              </m:sup>
                            </m:sSup>
                          </m:num>
                          <m:den>
                            <m:sSub>
                              <m:sSubPr>
                                <m:ctrlPr>
                                  <a:rPr lang="en-US" sz="1000" b="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𝐶</m:t>
                                </m:r>
                              </m:sub>
                            </m:sSub>
                          </m:den>
                        </m:f>
                        <m:r>
                          <a:rPr lang="en-US" sz="1000" b="0" i="1">
                            <a:latin typeface="Cambria Math"/>
                            <a:ea typeface="Cambria Math"/>
                          </a:rPr>
                          <m:t>=</m:t>
                        </m:r>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rPr>
                                </m:ctrlPr>
                              </m:sSupPr>
                              <m:e>
                                <m:d>
                                  <m:dPr>
                                    <m:ctrlPr>
                                      <a:rPr lang="en-US" sz="1000" i="1">
                                        <a:latin typeface="Cambria Math" panose="02040503050406030204" pitchFamily="18" charset="0"/>
                                      </a:rPr>
                                    </m:ctrlPr>
                                  </m:dPr>
                                  <m:e>
                                    <m:r>
                                      <a:rPr lang="en-US" sz="1000" b="0" i="1">
                                        <a:latin typeface="Cambria Math"/>
                                      </a:rPr>
                                      <m:t>9</m:t>
                                    </m:r>
                                    <m:r>
                                      <a:rPr lang="en-US" sz="1000" b="0" i="1">
                                        <a:latin typeface="Cambria Math"/>
                                      </a:rPr>
                                      <m:t>.</m:t>
                                    </m:r>
                                    <m:r>
                                      <a:rPr lang="en-US" sz="1000" b="0" i="1">
                                        <a:latin typeface="Cambria Math"/>
                                      </a:rPr>
                                      <m:t>54</m:t>
                                    </m:r>
                                  </m:e>
                                </m:d>
                              </m:e>
                              <m:sup>
                                <m:r>
                                  <a:rPr lang="en-US" sz="1000" i="1">
                                    <a:latin typeface="Cambria Math"/>
                                  </a:rPr>
                                  <m:t>2</m:t>
                                </m:r>
                              </m:sup>
                            </m:sSup>
                          </m:num>
                          <m:den>
                            <m:r>
                              <a:rPr lang="en-US" sz="1000" b="0" i="1">
                                <a:latin typeface="Cambria Math" panose="02040503050406030204" pitchFamily="18" charset="0"/>
                              </a:rPr>
                              <m:t>199</m:t>
                            </m:r>
                            <m:r>
                              <a:rPr lang="en-US" sz="1000" b="0" i="1">
                                <a:latin typeface="Cambria Math" panose="02040503050406030204" pitchFamily="18" charset="0"/>
                              </a:rPr>
                              <m:t>.</m:t>
                            </m:r>
                            <m:r>
                              <a:rPr lang="en-US" sz="1000" b="0" i="1">
                                <a:latin typeface="Cambria Math" panose="02040503050406030204" pitchFamily="18" charset="0"/>
                              </a:rPr>
                              <m:t>47</m:t>
                            </m:r>
                          </m:den>
                        </m:f>
                        <m:r>
                          <a:rPr lang="en-US" sz="1000" b="0" i="1">
                            <a:latin typeface="Cambria Math"/>
                            <a:ea typeface="Cambria Math"/>
                          </a:rPr>
                          <m:t>=</m:t>
                        </m:r>
                        <m:r>
                          <a:rPr lang="en-US" sz="1000" b="0" i="1">
                            <a:latin typeface="Cambria Math" panose="02040503050406030204" pitchFamily="18" charset="0"/>
                            <a:ea typeface="Cambria Math"/>
                          </a:rPr>
                          <m:t>0</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456</m:t>
                        </m:r>
                        <m:r>
                          <a:rPr lang="en-US" sz="1000" b="0" i="1">
                            <a:latin typeface="Cambria Math" panose="02040503050406030204" pitchFamily="18" charset="0"/>
                            <a:ea typeface="Cambria Math"/>
                          </a:rPr>
                          <m:t> </m:t>
                        </m:r>
                        <m:r>
                          <a:rPr lang="en-US" sz="1000" b="0" i="1">
                            <a:latin typeface="Cambria Math" panose="02040503050406030204" pitchFamily="18" charset="0"/>
                            <a:ea typeface="Cambria Math"/>
                          </a:rPr>
                          <m:t>𝑀𝑉𝐴𝑅</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𝑃</m:t>
                        </m:r>
                        <m:r>
                          <a:rPr lang="en-US" sz="1000" b="0" i="1">
                            <a:latin typeface="Cambria Math" panose="02040503050406030204" pitchFamily="18" charset="0"/>
                            <a:ea typeface="Cambria Math"/>
                          </a:rPr>
                          <m:t>h</m:t>
                        </m:r>
                        <m:r>
                          <a:rPr lang="en-US" sz="1000" b="0" i="1">
                            <a:latin typeface="Cambria Math" panose="02040503050406030204" pitchFamily="18" charset="0"/>
                            <a:ea typeface="Cambria Math"/>
                          </a:rPr>
                          <m:t>𝑎𝑠𝑒</m:t>
                        </m:r>
                      </m:e>
                      <m:sub/>
                    </m:sSub>
                  </m:oMath>
                </m:oMathPara>
              </a14:m>
              <a:endParaRPr lang="en-US" sz="1000" b="0"/>
            </a:p>
          </xdr:txBody>
        </xdr:sp>
      </mc:Choice>
      <mc:Fallback xmlns="">
        <xdr:sp macro="" textlink="">
          <xdr:nvSpPr>
            <xdr:cNvPr id="23" name="TextBox 3">
              <a:extLst>
                <a:ext uri="{FF2B5EF4-FFF2-40B4-BE49-F238E27FC236}">
                  <a16:creationId xmlns:a16="http://schemas.microsoft.com/office/drawing/2014/main" id="{769CE0A4-279D-4BB9-9F10-1E8F4A75A35D}"/>
                </a:ext>
              </a:extLst>
            </xdr:cNvPr>
            <xdr:cNvSpPr txBox="1"/>
          </xdr:nvSpPr>
          <xdr:spPr>
            <a:xfrm>
              <a:off x="2372457" y="41103683"/>
              <a:ext cx="5117123" cy="42729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b="0" i="0">
                  <a:latin typeface="Cambria Math" panose="02040503050406030204" pitchFamily="18" charset="0"/>
                </a:rPr>
                <a:t>〖</a:t>
              </a:r>
              <a:r>
                <a:rPr lang="en-US" sz="1000" b="0" i="0">
                  <a:latin typeface="Cambria Math"/>
                </a:rPr>
                <a:t>𝑄</a:t>
              </a:r>
              <a:r>
                <a:rPr lang="en-US" sz="1000" b="0" i="0">
                  <a:latin typeface="Cambria Math" panose="02040503050406030204" pitchFamily="18" charset="0"/>
                </a:rPr>
                <a:t>_(</a:t>
              </a:r>
              <a:r>
                <a:rPr lang="en-US" sz="1000" b="0" i="0">
                  <a:latin typeface="Cambria Math"/>
                </a:rPr>
                <a:t>𝑅𝐴𝑇𝐸𝐷 𝑃𝐸𝑅 𝑃𝐻𝐴𝑆𝐸 (</a:t>
              </a:r>
              <a:r>
                <a:rPr lang="en-US" sz="1000" b="0" i="0">
                  <a:latin typeface="Cambria Math" panose="02040503050406030204" pitchFamily="18" charset="0"/>
                </a:rPr>
                <a:t>𝑀𝑉𝐴𝑅</a:t>
              </a:r>
              <a:r>
                <a:rPr lang="en-US" sz="1000" b="0" i="0">
                  <a:latin typeface="Cambria Math"/>
                </a:rPr>
                <a:t>)</a:t>
              </a:r>
              <a:r>
                <a:rPr lang="en-US" sz="1000" b="0" i="0">
                  <a:latin typeface="Cambria Math" panose="02040503050406030204" pitchFamily="18" charset="0"/>
                </a:rPr>
                <a:t>)</a:t>
              </a:r>
              <a:r>
                <a:rPr lang="en-US" sz="1000" b="0" i="0">
                  <a:latin typeface="Cambria Math"/>
                </a:rPr>
                <a:t>  </a:t>
              </a:r>
              <a:r>
                <a:rPr lang="en-US" sz="1000" b="0" i="0">
                  <a:latin typeface="Cambria Math"/>
                  <a:ea typeface="Cambria Math"/>
                </a:rPr>
                <a:t>=</a:t>
              </a:r>
              <a:r>
                <a:rPr lang="en-US" sz="1000" b="0" i="0">
                  <a:solidFill>
                    <a:schemeClr val="tx1"/>
                  </a:solidFill>
                  <a:effectLst/>
                  <a:latin typeface="Cambria Math" panose="02040503050406030204" pitchFamily="18" charset="0"/>
                  <a:ea typeface="Cambria Math"/>
                </a:rPr>
                <a:t>(</a:t>
              </a:r>
              <a:r>
                <a:rPr lang="en-US" sz="1000" b="0" i="0">
                  <a:solidFill>
                    <a:schemeClr val="tx1"/>
                  </a:solidFill>
                  <a:effectLst/>
                  <a:latin typeface="Cambria Math"/>
                </a:rPr>
                <a:t>𝑉</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𝐶𝐴𝑃 𝑅𝐴𝑇𝐼𝑁𝐺</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2</a:t>
              </a:r>
              <a:r>
                <a:rPr lang="en-US" sz="1000" b="0" i="0">
                  <a:solidFill>
                    <a:schemeClr val="tx1"/>
                  </a:solidFill>
                  <a:effectLst/>
                  <a:latin typeface="Cambria Math" panose="02040503050406030204" pitchFamily="18" charset="0"/>
                  <a:ea typeface="Cambria Math"/>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𝐶</a:t>
              </a:r>
              <a:r>
                <a:rPr lang="en-US" sz="1000" b="0" i="0">
                  <a:latin typeface="Cambria Math" panose="02040503050406030204" pitchFamily="18" charset="0"/>
                  <a:ea typeface="Cambria Math"/>
                </a:rPr>
                <a:t> </a:t>
              </a:r>
              <a:r>
                <a:rPr lang="en-US" sz="1000" b="0" i="0">
                  <a:latin typeface="Cambria Math"/>
                  <a:ea typeface="Cambria Math"/>
                </a:rPr>
                <a:t>=</a:t>
              </a:r>
              <a:r>
                <a:rPr lang="en-US" sz="1000" b="0" i="0">
                  <a:latin typeface="Cambria Math" panose="02040503050406030204" pitchFamily="18" charset="0"/>
                  <a:ea typeface="Cambria Math"/>
                </a:rPr>
                <a:t>(</a:t>
              </a:r>
              <a:r>
                <a:rPr lang="en-US" sz="1000" b="0" i="0">
                  <a:latin typeface="Cambria Math"/>
                </a:rPr>
                <a:t>9.54</a:t>
              </a:r>
              <a:r>
                <a:rPr lang="en-US" sz="1000" b="0" i="0">
                  <a:latin typeface="Cambria Math" panose="02040503050406030204" pitchFamily="18" charset="0"/>
                </a:rPr>
                <a:t>)^</a:t>
              </a:r>
              <a:r>
                <a:rPr lang="en-US" sz="1000" i="0">
                  <a:latin typeface="Cambria Math"/>
                </a:rPr>
                <a:t>2</a:t>
              </a:r>
              <a:r>
                <a:rPr lang="en-US" sz="1000" i="0">
                  <a:latin typeface="Cambria Math" panose="02040503050406030204" pitchFamily="18" charset="0"/>
                  <a:ea typeface="Cambria Math"/>
                </a:rPr>
                <a:t>/</a:t>
              </a:r>
              <a:r>
                <a:rPr lang="en-US" sz="1000" b="0" i="0">
                  <a:latin typeface="Cambria Math" panose="02040503050406030204" pitchFamily="18" charset="0"/>
                </a:rPr>
                <a:t>199.47</a:t>
              </a:r>
              <a:r>
                <a:rPr lang="en-US" sz="1000" b="0" i="0">
                  <a:latin typeface="Cambria Math"/>
                  <a:ea typeface="Cambria Math"/>
                </a:rPr>
                <a:t>=</a:t>
              </a:r>
              <a:r>
                <a:rPr lang="en-US" sz="1000" b="0" i="0">
                  <a:latin typeface="Cambria Math" panose="02040503050406030204" pitchFamily="18" charset="0"/>
                  <a:ea typeface="Cambria Math"/>
                </a:rPr>
                <a:t>0.456 𝑀𝑉𝐴𝑅/𝑃ℎ𝑎𝑠𝑒〗_</a:t>
              </a:r>
              <a:endParaRPr lang="en-US" sz="1000" b="0"/>
            </a:p>
          </xdr:txBody>
        </xdr:sp>
      </mc:Fallback>
    </mc:AlternateContent>
    <xdr:clientData/>
  </xdr:twoCellAnchor>
  <xdr:twoCellAnchor>
    <xdr:from>
      <xdr:col>13</xdr:col>
      <xdr:colOff>0</xdr:colOff>
      <xdr:row>171</xdr:row>
      <xdr:rowOff>0</xdr:rowOff>
    </xdr:from>
    <xdr:to>
      <xdr:col>41</xdr:col>
      <xdr:colOff>114300</xdr:colOff>
      <xdr:row>172</xdr:row>
      <xdr:rowOff>155864</xdr:rowOff>
    </xdr:to>
    <mc:AlternateContent xmlns:mc="http://schemas.openxmlformats.org/markup-compatibility/2006" xmlns:a14="http://schemas.microsoft.com/office/drawing/2010/main">
      <mc:Choice Requires="a14">
        <xdr:sp macro="" textlink="">
          <xdr:nvSpPr>
            <xdr:cNvPr id="24" name="TextBox 14">
              <a:extLst>
                <a:ext uri="{FF2B5EF4-FFF2-40B4-BE49-F238E27FC236}">
                  <a16:creationId xmlns:a16="http://schemas.microsoft.com/office/drawing/2014/main" id="{380974EC-5672-463F-977C-F67A0B770842}"/>
                </a:ext>
              </a:extLst>
            </xdr:cNvPr>
            <xdr:cNvSpPr txBox="1"/>
          </xdr:nvSpPr>
          <xdr:spPr>
            <a:xfrm>
              <a:off x="2352675" y="39090600"/>
              <a:ext cx="5181600" cy="38446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i="1">
                            <a:latin typeface="Cambria Math" panose="02040503050406030204" pitchFamily="18" charset="0"/>
                          </a:rPr>
                        </m:ctrlPr>
                      </m:sSubPr>
                      <m:e>
                        <m:r>
                          <a:rPr lang="en-US" sz="1000" i="1">
                            <a:latin typeface="Cambria Math"/>
                          </a:rPr>
                          <m:t>𝑄</m:t>
                        </m:r>
                      </m:e>
                      <m:sub>
                        <m:r>
                          <a:rPr lang="en-US" sz="1000" i="1">
                            <a:latin typeface="Cambria Math"/>
                          </a:rPr>
                          <m:t>𝑒𝑓𝑓</m:t>
                        </m:r>
                      </m:sub>
                    </m:sSub>
                    <m:r>
                      <a:rPr lang="en-US" sz="1000" b="0" i="1">
                        <a:latin typeface="Cambria Math"/>
                      </a:rPr>
                      <m:t>=</m:t>
                    </m:r>
                    <m:r>
                      <a:rPr lang="en-US" sz="1000" b="0" i="1">
                        <a:latin typeface="Cambria Math"/>
                      </a:rPr>
                      <m:t>𝑂𝑢𝑡𝑝𝑢𝑡</m:t>
                    </m:r>
                    <m:r>
                      <a:rPr lang="en-US" sz="1000" b="0" i="1">
                        <a:latin typeface="Cambria Math"/>
                      </a:rPr>
                      <m:t> </m:t>
                    </m:r>
                    <m:r>
                      <a:rPr lang="en-US" sz="1000" b="0" i="1">
                        <a:latin typeface="Cambria Math"/>
                      </a:rPr>
                      <m:t>𝑀𝑉𝐴𝑅</m:t>
                    </m:r>
                    <m:r>
                      <a:rPr lang="en-US" sz="1000" b="0" i="1">
                        <a:latin typeface="Cambria Math"/>
                      </a:rPr>
                      <m:t> </m:t>
                    </m:r>
                    <m:r>
                      <a:rPr lang="en-US" sz="1000" b="0" i="1">
                        <a:latin typeface="Cambria Math"/>
                      </a:rPr>
                      <m:t>𝑅𝑎𝑡𝑖𝑛𝑔</m:t>
                    </m:r>
                    <m:r>
                      <a:rPr lang="en-US" sz="1000" b="0" i="1">
                        <a:latin typeface="Cambria Math"/>
                      </a:rPr>
                      <m:t> </m:t>
                    </m:r>
                    <m:r>
                      <a:rPr lang="en-US" sz="1000" b="0" i="1">
                        <a:latin typeface="Cambria Math"/>
                      </a:rPr>
                      <m:t>𝑜𝑓</m:t>
                    </m:r>
                    <m:r>
                      <a:rPr lang="en-US" sz="1000" b="0" i="1">
                        <a:latin typeface="Cambria Math"/>
                      </a:rPr>
                      <m:t> </m:t>
                    </m:r>
                    <m:r>
                      <a:rPr lang="en-US" sz="1000" b="0" i="1">
                        <a:latin typeface="Cambria Math"/>
                      </a:rPr>
                      <m:t>𝐹𝑖𝑙𝑡𝑒𝑟</m:t>
                    </m:r>
                    <m:r>
                      <a:rPr lang="en-US" sz="1000" b="0" i="1">
                        <a:latin typeface="Cambria Math"/>
                        <a:ea typeface="Cambria Math"/>
                      </a:rPr>
                      <m:t>=</m:t>
                    </m:r>
                    <m:f>
                      <m:fPr>
                        <m:ctrlPr>
                          <a:rPr lang="en-US" sz="1000" b="0" i="1">
                            <a:latin typeface="Cambria Math" panose="02040503050406030204" pitchFamily="18" charset="0"/>
                            <a:ea typeface="Cambria Math"/>
                          </a:rPr>
                        </m:ctrlPr>
                      </m:fPr>
                      <m:num>
                        <m:r>
                          <a:rPr lang="en-US" sz="1000" i="1">
                            <a:latin typeface="Cambria Math"/>
                            <a:ea typeface="Cambria Math"/>
                          </a:rPr>
                          <m:t>𝐷𝑒𝑠𝑖𝑟𝑒𝑑</m:t>
                        </m:r>
                        <m:r>
                          <a:rPr lang="en-US" sz="1000" i="1">
                            <a:latin typeface="Cambria Math"/>
                            <a:ea typeface="Cambria Math"/>
                          </a:rPr>
                          <m:t> </m:t>
                        </m:r>
                        <m:r>
                          <a:rPr lang="en-US" sz="1000" i="1">
                            <a:latin typeface="Cambria Math"/>
                            <a:ea typeface="Cambria Math"/>
                          </a:rPr>
                          <m:t>3</m:t>
                        </m:r>
                        <m:r>
                          <a:rPr lang="en-US" sz="1000" i="1">
                            <a:latin typeface="Cambria Math"/>
                            <a:ea typeface="Cambria Math"/>
                          </a:rPr>
                          <m:t> </m:t>
                        </m:r>
                        <m:r>
                          <a:rPr lang="en-US" sz="1000" b="0" i="1">
                            <a:latin typeface="Cambria Math"/>
                            <a:ea typeface="Cambria Math"/>
                          </a:rPr>
                          <m:t>𝑃</m:t>
                        </m:r>
                        <m:r>
                          <a:rPr lang="en-US" sz="1000" b="0" i="1">
                            <a:latin typeface="Cambria Math"/>
                            <a:ea typeface="Cambria Math"/>
                          </a:rPr>
                          <m:t>h</m:t>
                        </m:r>
                        <m:r>
                          <a:rPr lang="en-US" sz="1000" b="0" i="1">
                            <a:latin typeface="Cambria Math"/>
                            <a:ea typeface="Cambria Math"/>
                          </a:rPr>
                          <m:t>𝑎𝑠𝑒</m:t>
                        </m:r>
                        <m:r>
                          <a:rPr lang="en-US" sz="1000" b="0" i="1">
                            <a:latin typeface="Cambria Math"/>
                            <a:ea typeface="Cambria Math"/>
                          </a:rPr>
                          <m:t> </m:t>
                        </m:r>
                        <m:r>
                          <a:rPr lang="en-US" sz="1000" i="1">
                            <a:latin typeface="Cambria Math"/>
                            <a:ea typeface="Cambria Math"/>
                          </a:rPr>
                          <m:t>𝑘𝑣𝑎𝑟</m:t>
                        </m:r>
                      </m:num>
                      <m:den>
                        <m:r>
                          <a:rPr lang="en-US" sz="1000" b="0" i="1">
                            <a:latin typeface="Cambria Math"/>
                            <a:ea typeface="Cambria Math"/>
                          </a:rPr>
                          <m:t>1000</m:t>
                        </m:r>
                      </m:den>
                    </m:f>
                    <m:r>
                      <a:rPr lang="en-US" sz="1000" b="0" i="1">
                        <a:latin typeface="Cambria Math"/>
                        <a:ea typeface="Cambria Math"/>
                      </a:rPr>
                      <m:t> =</m:t>
                    </m:r>
                    <m:r>
                      <a:rPr lang="en-US" sz="1000" b="0" i="1">
                        <a:latin typeface="Cambria Math" panose="02040503050406030204" pitchFamily="18" charset="0"/>
                        <a:ea typeface="Cambria Math"/>
                      </a:rPr>
                      <m:t>1</m:t>
                    </m:r>
                    <m:r>
                      <a:rPr lang="en-US" sz="1000" b="0" i="1">
                        <a:latin typeface="Cambria Math"/>
                        <a:ea typeface="Cambria Math"/>
                      </a:rPr>
                      <m:t>.</m:t>
                    </m:r>
                    <m:r>
                      <a:rPr lang="en-US" sz="1000" b="0" i="1">
                        <a:latin typeface="Cambria Math" panose="02040503050406030204" pitchFamily="18" charset="0"/>
                        <a:ea typeface="Cambria Math"/>
                      </a:rPr>
                      <m:t>0</m:t>
                    </m:r>
                    <m:r>
                      <a:rPr lang="en-US" sz="1000" b="0" i="1">
                        <a:latin typeface="Cambria Math"/>
                        <a:ea typeface="Cambria Math"/>
                      </a:rPr>
                      <m:t> </m:t>
                    </m:r>
                    <m:r>
                      <a:rPr lang="en-US" sz="1000" b="0" i="1">
                        <a:latin typeface="Cambria Math"/>
                        <a:ea typeface="Cambria Math"/>
                      </a:rPr>
                      <m:t>𝑀𝑉𝐴𝑅</m:t>
                    </m:r>
                  </m:oMath>
                </m:oMathPara>
              </a14:m>
              <a:endParaRPr lang="en-US" sz="1000" b="0"/>
            </a:p>
          </xdr:txBody>
        </xdr:sp>
      </mc:Choice>
      <mc:Fallback xmlns="">
        <xdr:sp macro="" textlink="">
          <xdr:nvSpPr>
            <xdr:cNvPr id="24" name="TextBox 14">
              <a:extLst>
                <a:ext uri="{FF2B5EF4-FFF2-40B4-BE49-F238E27FC236}">
                  <a16:creationId xmlns:a16="http://schemas.microsoft.com/office/drawing/2014/main" id="{380974EC-5672-463F-977C-F67A0B770842}"/>
                </a:ext>
              </a:extLst>
            </xdr:cNvPr>
            <xdr:cNvSpPr txBox="1"/>
          </xdr:nvSpPr>
          <xdr:spPr>
            <a:xfrm>
              <a:off x="2352675" y="39090600"/>
              <a:ext cx="5181600" cy="38446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i="0">
                  <a:latin typeface="Cambria Math"/>
                </a:rPr>
                <a:t>𝑄</a:t>
              </a:r>
              <a:r>
                <a:rPr lang="en-US" sz="1000" i="0">
                  <a:latin typeface="Cambria Math" panose="02040503050406030204" pitchFamily="18" charset="0"/>
                </a:rPr>
                <a:t>_</a:t>
              </a:r>
              <a:r>
                <a:rPr lang="en-US" sz="1000" i="0">
                  <a:latin typeface="Cambria Math"/>
                </a:rPr>
                <a:t>𝑒𝑓𝑓</a:t>
              </a:r>
              <a:r>
                <a:rPr lang="en-US" sz="1000" b="0" i="0">
                  <a:latin typeface="Cambria Math"/>
                </a:rPr>
                <a:t>=𝑂𝑢𝑡𝑝𝑢𝑡 𝑀𝑉𝐴𝑅 𝑅𝑎𝑡𝑖𝑛𝑔 𝑜𝑓 𝐹𝑖𝑙𝑡𝑒𝑟</a:t>
              </a:r>
              <a:r>
                <a:rPr lang="en-US" sz="1000" b="0" i="0">
                  <a:latin typeface="Cambria Math"/>
                  <a:ea typeface="Cambria Math"/>
                </a:rPr>
                <a:t>=</a:t>
              </a:r>
              <a:r>
                <a:rPr lang="en-US" sz="1000" b="0" i="0">
                  <a:latin typeface="Cambria Math" panose="02040503050406030204" pitchFamily="18" charset="0"/>
                  <a:ea typeface="Cambria Math"/>
                </a:rPr>
                <a:t>(</a:t>
              </a:r>
              <a:r>
                <a:rPr lang="en-US" sz="1000" i="0">
                  <a:latin typeface="Cambria Math"/>
                  <a:ea typeface="Cambria Math"/>
                </a:rPr>
                <a:t>𝐷𝑒𝑠𝑖𝑟𝑒𝑑 3 </a:t>
              </a:r>
              <a:r>
                <a:rPr lang="en-US" sz="1000" b="0" i="0">
                  <a:latin typeface="Cambria Math"/>
                  <a:ea typeface="Cambria Math"/>
                </a:rPr>
                <a:t>𝑃ℎ𝑎𝑠𝑒 </a:t>
              </a:r>
              <a:r>
                <a:rPr lang="en-US" sz="1000" i="0">
                  <a:latin typeface="Cambria Math"/>
                  <a:ea typeface="Cambria Math"/>
                </a:rPr>
                <a:t>𝑘𝑣𝑎𝑟</a:t>
              </a:r>
              <a:r>
                <a:rPr lang="en-US" sz="1000" b="0" i="0">
                  <a:latin typeface="Cambria Math" panose="02040503050406030204" pitchFamily="18" charset="0"/>
                  <a:ea typeface="Cambria Math"/>
                </a:rPr>
                <a:t>)/</a:t>
              </a:r>
              <a:r>
                <a:rPr lang="en-US" sz="1000" b="0" i="0">
                  <a:latin typeface="Cambria Math"/>
                  <a:ea typeface="Cambria Math"/>
                </a:rPr>
                <a:t>1000  =</a:t>
              </a:r>
              <a:r>
                <a:rPr lang="en-US" sz="1000" b="0" i="0">
                  <a:latin typeface="Cambria Math" panose="02040503050406030204" pitchFamily="18" charset="0"/>
                  <a:ea typeface="Cambria Math"/>
                </a:rPr>
                <a:t>1</a:t>
              </a:r>
              <a:r>
                <a:rPr lang="en-US" sz="1000" b="0" i="0">
                  <a:latin typeface="Cambria Math"/>
                  <a:ea typeface="Cambria Math"/>
                </a:rPr>
                <a:t>.</a:t>
              </a:r>
              <a:r>
                <a:rPr lang="en-US" sz="1000" b="0" i="0">
                  <a:latin typeface="Cambria Math" panose="02040503050406030204" pitchFamily="18" charset="0"/>
                  <a:ea typeface="Cambria Math"/>
                </a:rPr>
                <a:t>0</a:t>
              </a:r>
              <a:r>
                <a:rPr lang="en-US" sz="1000" b="0" i="0">
                  <a:latin typeface="Cambria Math"/>
                  <a:ea typeface="Cambria Math"/>
                </a:rPr>
                <a:t> 𝑀𝑉𝐴𝑅</a:t>
              </a:r>
              <a:endParaRPr lang="en-US" sz="1000" b="0"/>
            </a:p>
          </xdr:txBody>
        </xdr:sp>
      </mc:Fallback>
    </mc:AlternateContent>
    <xdr:clientData/>
  </xdr:twoCellAnchor>
  <xdr:twoCellAnchor>
    <xdr:from>
      <xdr:col>12</xdr:col>
      <xdr:colOff>183931</xdr:colOff>
      <xdr:row>172</xdr:row>
      <xdr:rowOff>135164</xdr:rowOff>
    </xdr:from>
    <xdr:to>
      <xdr:col>40</xdr:col>
      <xdr:colOff>47625</xdr:colOff>
      <xdr:row>173</xdr:row>
      <xdr:rowOff>155415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9A8452A8-54E9-4914-9FC2-A64A2C3EA808}"/>
                </a:ext>
              </a:extLst>
            </xdr:cNvPr>
            <xdr:cNvSpPr txBox="1"/>
          </xdr:nvSpPr>
          <xdr:spPr>
            <a:xfrm>
              <a:off x="2355631" y="39454364"/>
              <a:ext cx="4930994" cy="24885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a:t>k</a:t>
              </a:r>
              <a14:m>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𝑉</m:t>
                      </m:r>
                    </m:e>
                    <m:sub>
                      <m:r>
                        <a:rPr lang="en-US" sz="1000" b="0" i="1">
                          <a:latin typeface="Cambria Math"/>
                        </a:rPr>
                        <m:t>𝐿𝐿𝑆𝑌𝑆</m:t>
                      </m:r>
                    </m:sub>
                  </m:sSub>
                  <m:r>
                    <a:rPr lang="en-US" sz="1000" b="0" i="1">
                      <a:latin typeface="Cambria Math"/>
                      <a:ea typeface="Cambria Math"/>
                    </a:rPr>
                    <m:t>=</m:t>
                  </m:r>
                  <m:r>
                    <a:rPr lang="en-US" sz="1000" b="0" i="1">
                      <a:latin typeface="Cambria Math"/>
                      <a:ea typeface="Cambria Math"/>
                    </a:rPr>
                    <m:t>𝐹𝑖𝑙𝑡𝑒𝑟</m:t>
                  </m:r>
                  <m:r>
                    <a:rPr lang="en-US" sz="1000" b="0" i="1">
                      <a:latin typeface="Cambria Math"/>
                      <a:ea typeface="Cambria Math"/>
                    </a:rPr>
                    <m:t> </m:t>
                  </m:r>
                  <m:r>
                    <a:rPr lang="en-US" sz="1000" b="0" i="1">
                      <a:latin typeface="Cambria Math"/>
                      <a:ea typeface="Cambria Math"/>
                    </a:rPr>
                    <m:t>𝑁𝑜𝑚𝑖𝑛𝑎𝑙</m:t>
                  </m:r>
                  <m:r>
                    <a:rPr lang="en-US" sz="1000" b="0" i="1">
                      <a:latin typeface="Cambria Math"/>
                      <a:ea typeface="Cambria Math"/>
                    </a:rPr>
                    <m:t> </m:t>
                  </m:r>
                  <m:r>
                    <a:rPr lang="en-US" sz="1000" b="0" i="1">
                      <a:latin typeface="Cambria Math"/>
                      <a:ea typeface="Cambria Math"/>
                    </a:rPr>
                    <m:t>𝐿𝑖𝑛𝑒</m:t>
                  </m:r>
                  <m:r>
                    <a:rPr lang="en-US" sz="1000" b="0" i="1">
                      <a:latin typeface="Cambria Math" panose="02040503050406030204" pitchFamily="18" charset="0"/>
                      <a:ea typeface="Cambria Math"/>
                    </a:rPr>
                    <m:t>−</m:t>
                  </m:r>
                  <m:r>
                    <a:rPr lang="en-US" sz="1000" b="0" i="1">
                      <a:latin typeface="Cambria Math"/>
                      <a:ea typeface="Cambria Math"/>
                    </a:rPr>
                    <m:t>𝑡𝑜</m:t>
                  </m:r>
                  <m:r>
                    <a:rPr lang="en-US" sz="1000" b="0" i="1">
                      <a:latin typeface="Cambria Math" panose="02040503050406030204" pitchFamily="18" charset="0"/>
                      <a:ea typeface="Cambria Math"/>
                    </a:rPr>
                    <m:t>−</m:t>
                  </m:r>
                  <m:r>
                    <a:rPr lang="en-US" sz="1000" b="0" i="1">
                      <a:latin typeface="Cambria Math"/>
                      <a:ea typeface="Cambria Math"/>
                    </a:rPr>
                    <m:t>𝐿𝑖𝑛𝑒</m:t>
                  </m:r>
                  <m:r>
                    <a:rPr lang="en-US" sz="1000" b="0" i="1">
                      <a:latin typeface="Cambria Math"/>
                      <a:ea typeface="Cambria Math"/>
                    </a:rPr>
                    <m:t> </m:t>
                  </m:r>
                  <m:r>
                    <a:rPr lang="en-US" sz="1000" b="0" i="1">
                      <a:latin typeface="Cambria Math"/>
                      <a:ea typeface="Cambria Math"/>
                    </a:rPr>
                    <m:t>𝑉𝑜𝑙𝑡𝑎𝑔𝑒</m:t>
                  </m:r>
                  <m:r>
                    <a:rPr lang="en-US" sz="1000" b="0" i="1">
                      <a:latin typeface="Cambria Math"/>
                      <a:ea typeface="Cambria Math"/>
                    </a:rPr>
                    <m:t> </m:t>
                  </m:r>
                  <m:r>
                    <a:rPr lang="en-US" sz="1000" b="0" i="1">
                      <a:latin typeface="Cambria Math"/>
                      <a:ea typeface="Cambria Math"/>
                    </a:rPr>
                    <m:t>𝑅𝑎𝑡𝑖𝑛𝑔</m:t>
                  </m:r>
                  <m:r>
                    <a:rPr lang="en-US" sz="1000" b="0" i="1">
                      <a:latin typeface="Cambria Math"/>
                      <a:ea typeface="Cambria Math"/>
                    </a:rPr>
                    <m:t> </m:t>
                  </m:r>
                  <m:d>
                    <m:dPr>
                      <m:ctrlPr>
                        <a:rPr lang="en-US" sz="1000" b="0" i="1">
                          <a:latin typeface="Cambria Math" panose="02040503050406030204" pitchFamily="18" charset="0"/>
                          <a:ea typeface="Cambria Math"/>
                        </a:rPr>
                      </m:ctrlPr>
                    </m:dPr>
                    <m:e>
                      <m:r>
                        <a:rPr lang="en-US" sz="1000" b="0" i="1">
                          <a:latin typeface="Cambria Math"/>
                          <a:ea typeface="Cambria Math"/>
                        </a:rPr>
                        <m:t>𝐾𝑉</m:t>
                      </m:r>
                    </m:e>
                  </m:d>
                  <m:r>
                    <a:rPr lang="en-US" sz="1000" b="0" i="1">
                      <a:latin typeface="Cambria Math"/>
                      <a:ea typeface="Cambria Math"/>
                    </a:rPr>
                    <m:t>=</m:t>
                  </m:r>
                  <m:r>
                    <a:rPr lang="en-US" sz="1000" b="0" i="1">
                      <a:latin typeface="Cambria Math"/>
                      <a:ea typeface="Cambria Math"/>
                    </a:rPr>
                    <m:t>13</m:t>
                  </m:r>
                  <m:r>
                    <a:rPr lang="en-US" sz="1000" b="0" i="1">
                      <a:latin typeface="Cambria Math"/>
                      <a:ea typeface="Cambria Math"/>
                    </a:rPr>
                    <m:t>.</m:t>
                  </m:r>
                  <m:r>
                    <a:rPr lang="en-US" sz="1000" b="0" i="1">
                      <a:latin typeface="Cambria Math"/>
                      <a:ea typeface="Cambria Math"/>
                    </a:rPr>
                    <m:t>8</m:t>
                  </m:r>
                  <m:r>
                    <a:rPr lang="en-US" sz="1000" b="0" i="1">
                      <a:latin typeface="Cambria Math"/>
                      <a:ea typeface="Cambria Math"/>
                    </a:rPr>
                    <m:t> </m:t>
                  </m:r>
                  <m:r>
                    <a:rPr lang="en-US" sz="1000" b="0" i="1">
                      <a:latin typeface="Cambria Math"/>
                      <a:ea typeface="Cambria Math"/>
                    </a:rPr>
                    <m:t>𝑘𝑉</m:t>
                  </m:r>
                </m:oMath>
              </a14:m>
              <a:endParaRPr lang="en-US" sz="1000" b="0"/>
            </a:p>
          </xdr:txBody>
        </xdr:sp>
      </mc:Choice>
      <mc:Fallback xmlns="">
        <xdr:sp macro="" textlink="">
          <xdr:nvSpPr>
            <xdr:cNvPr id="25" name="TextBox 24">
              <a:extLst>
                <a:ext uri="{FF2B5EF4-FFF2-40B4-BE49-F238E27FC236}">
                  <a16:creationId xmlns:a16="http://schemas.microsoft.com/office/drawing/2014/main" id="{9A8452A8-54E9-4914-9FC2-A64A2C3EA808}"/>
                </a:ext>
              </a:extLst>
            </xdr:cNvPr>
            <xdr:cNvSpPr txBox="1"/>
          </xdr:nvSpPr>
          <xdr:spPr>
            <a:xfrm>
              <a:off x="2355631" y="39454364"/>
              <a:ext cx="4930994" cy="24885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a:t>k</a:t>
              </a:r>
              <a:r>
                <a:rPr lang="en-US" sz="1000" b="0" i="0">
                  <a:latin typeface="Cambria Math"/>
                </a:rPr>
                <a:t>𝑉</a:t>
              </a:r>
              <a:r>
                <a:rPr lang="en-US" sz="1000" b="0" i="0">
                  <a:latin typeface="Cambria Math" panose="02040503050406030204" pitchFamily="18" charset="0"/>
                </a:rPr>
                <a:t>_</a:t>
              </a:r>
              <a:r>
                <a:rPr lang="en-US" sz="1000" b="0" i="0">
                  <a:latin typeface="Cambria Math"/>
                </a:rPr>
                <a:t>𝐿𝐿𝑆𝑌𝑆</a:t>
              </a:r>
              <a:r>
                <a:rPr lang="en-US" sz="1000" b="0" i="0">
                  <a:latin typeface="Cambria Math"/>
                  <a:ea typeface="Cambria Math"/>
                </a:rPr>
                <a:t>=𝐹𝑖𝑙𝑡𝑒𝑟 𝑁𝑜𝑚𝑖𝑛𝑎𝑙 𝐿𝑖𝑛𝑒</a:t>
              </a:r>
              <a:r>
                <a:rPr lang="en-US" sz="1000" b="0" i="0">
                  <a:latin typeface="Cambria Math" panose="02040503050406030204" pitchFamily="18" charset="0"/>
                  <a:ea typeface="Cambria Math"/>
                </a:rPr>
                <a:t>−</a:t>
              </a:r>
              <a:r>
                <a:rPr lang="en-US" sz="1000" b="0" i="0">
                  <a:latin typeface="Cambria Math"/>
                  <a:ea typeface="Cambria Math"/>
                </a:rPr>
                <a:t>𝑡𝑜</a:t>
              </a:r>
              <a:r>
                <a:rPr lang="en-US" sz="1000" b="0" i="0">
                  <a:latin typeface="Cambria Math" panose="02040503050406030204" pitchFamily="18" charset="0"/>
                  <a:ea typeface="Cambria Math"/>
                </a:rPr>
                <a:t>−</a:t>
              </a:r>
              <a:r>
                <a:rPr lang="en-US" sz="1000" b="0" i="0">
                  <a:latin typeface="Cambria Math"/>
                  <a:ea typeface="Cambria Math"/>
                </a:rPr>
                <a:t>𝐿𝑖𝑛𝑒 𝑉𝑜𝑙𝑡𝑎𝑔𝑒 𝑅𝑎𝑡𝑖𝑛𝑔 </a:t>
              </a:r>
              <a:r>
                <a:rPr lang="en-US" sz="1000" b="0" i="0">
                  <a:latin typeface="Cambria Math" panose="02040503050406030204" pitchFamily="18" charset="0"/>
                  <a:ea typeface="Cambria Math"/>
                </a:rPr>
                <a:t>(</a:t>
              </a:r>
              <a:r>
                <a:rPr lang="en-US" sz="1000" b="0" i="0">
                  <a:latin typeface="Cambria Math"/>
                  <a:ea typeface="Cambria Math"/>
                </a:rPr>
                <a:t>𝐾𝑉</a:t>
              </a:r>
              <a:r>
                <a:rPr lang="en-US" sz="1000" b="0" i="0">
                  <a:latin typeface="Cambria Math" panose="02040503050406030204" pitchFamily="18" charset="0"/>
                  <a:ea typeface="Cambria Math"/>
                </a:rPr>
                <a:t>)</a:t>
              </a:r>
              <a:r>
                <a:rPr lang="en-US" sz="1000" b="0" i="0">
                  <a:latin typeface="Cambria Math"/>
                  <a:ea typeface="Cambria Math"/>
                </a:rPr>
                <a:t>=13.8 𝑘𝑉</a:t>
              </a:r>
              <a:endParaRPr lang="en-US" sz="1000" b="0"/>
            </a:p>
          </xdr:txBody>
        </xdr:sp>
      </mc:Fallback>
    </mc:AlternateContent>
    <xdr:clientData/>
  </xdr:twoCellAnchor>
  <xdr:twoCellAnchor>
    <xdr:from>
      <xdr:col>32</xdr:col>
      <xdr:colOff>114450</xdr:colOff>
      <xdr:row>175</xdr:row>
      <xdr:rowOff>39156</xdr:rowOff>
    </xdr:from>
    <xdr:to>
      <xdr:col>38</xdr:col>
      <xdr:colOff>107125</xdr:colOff>
      <xdr:row>176</xdr:row>
      <xdr:rowOff>49264</xdr:rowOff>
    </xdr:to>
    <mc:AlternateContent xmlns:mc="http://schemas.openxmlformats.org/markup-compatibility/2006" xmlns:a14="http://schemas.microsoft.com/office/drawing/2010/main">
      <mc:Choice Requires="a14">
        <xdr:sp macro="" textlink="">
          <xdr:nvSpPr>
            <xdr:cNvPr id="26" name="TextBox 19">
              <a:extLst>
                <a:ext uri="{FF2B5EF4-FFF2-40B4-BE49-F238E27FC236}">
                  <a16:creationId xmlns:a16="http://schemas.microsoft.com/office/drawing/2014/main" id="{8D11B105-C76B-4E79-A9CE-0094380EDEB5}"/>
                </a:ext>
              </a:extLst>
            </xdr:cNvPr>
            <xdr:cNvSpPr txBox="1"/>
          </xdr:nvSpPr>
          <xdr:spPr>
            <a:xfrm>
              <a:off x="5905650" y="40044156"/>
              <a:ext cx="1078525" cy="238708"/>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14:m>
                <m:oMath xmlns:m="http://schemas.openxmlformats.org/officeDocument/2006/math">
                  <m:r>
                    <a:rPr lang="en-US" sz="1000" b="0" i="1">
                      <a:solidFill>
                        <a:schemeClr val="tx1"/>
                      </a:solidFill>
                      <a:latin typeface="Cambria Math" panose="02040503050406030204" pitchFamily="18" charset="0"/>
                    </a:rPr>
                    <m:t>𝐶</m:t>
                  </m:r>
                  <m:r>
                    <a:rPr lang="en-US" sz="1000" i="1">
                      <a:solidFill>
                        <a:schemeClr val="tx1"/>
                      </a:solidFill>
                      <a:latin typeface="Cambria Math" panose="02040503050406030204" pitchFamily="18" charset="0"/>
                    </a:rPr>
                    <m:t>=</m:t>
                  </m:r>
                  <m:f>
                    <m:fPr>
                      <m:ctrlPr>
                        <a:rPr lang="en-US" sz="1000" i="1">
                          <a:solidFill>
                            <a:schemeClr val="tx1"/>
                          </a:solidFill>
                          <a:latin typeface="Cambria Math" panose="02040503050406030204" pitchFamily="18" charset="0"/>
                        </a:rPr>
                      </m:ctrlPr>
                    </m:fPr>
                    <m:num>
                      <m:r>
                        <a:rPr lang="en-US" sz="1000" b="0" i="1">
                          <a:solidFill>
                            <a:schemeClr val="tx1"/>
                          </a:solidFill>
                          <a:latin typeface="Cambria Math" panose="02040503050406030204" pitchFamily="18" charset="0"/>
                        </a:rPr>
                        <m:t>1</m:t>
                      </m:r>
                    </m:num>
                    <m:den>
                      <m:r>
                        <a:rPr lang="en-US" sz="1000" b="0" i="1">
                          <a:solidFill>
                            <a:schemeClr val="tx1"/>
                          </a:solidFill>
                          <a:latin typeface="Cambria Math" panose="02040503050406030204" pitchFamily="18" charset="0"/>
                        </a:rPr>
                        <m:t>2</m:t>
                      </m:r>
                      <m:r>
                        <a:rPr lang="en-US" sz="1000" b="0" i="1">
                          <a:solidFill>
                            <a:schemeClr val="tx1"/>
                          </a:solidFill>
                          <a:latin typeface="Cambria Math" panose="02040503050406030204" pitchFamily="18" charset="0"/>
                          <a:ea typeface="Cambria Math" panose="02040503050406030204" pitchFamily="18" charset="0"/>
                        </a:rPr>
                        <m:t>𝜋</m:t>
                      </m:r>
                      <m:r>
                        <a:rPr lang="en-US" sz="1000" b="0" i="1">
                          <a:solidFill>
                            <a:schemeClr val="tx1"/>
                          </a:solidFill>
                          <a:latin typeface="Cambria Math" panose="02040503050406030204" pitchFamily="18" charset="0"/>
                          <a:ea typeface="Cambria Math" panose="02040503050406030204" pitchFamily="18" charset="0"/>
                        </a:rPr>
                        <m:t>𝑓</m:t>
                      </m:r>
                      <m:sSub>
                        <m:sSubPr>
                          <m:ctrlPr>
                            <a:rPr lang="en-US" sz="1000" b="0" i="1">
                              <a:solidFill>
                                <a:schemeClr val="tx1"/>
                              </a:solidFill>
                              <a:latin typeface="Cambria Math" panose="02040503050406030204" pitchFamily="18" charset="0"/>
                              <a:ea typeface="Cambria Math" panose="02040503050406030204" pitchFamily="18" charset="0"/>
                            </a:rPr>
                          </m:ctrlPr>
                        </m:sSubPr>
                        <m:e>
                          <m:r>
                            <a:rPr lang="en-US" sz="1000" b="0" i="1">
                              <a:solidFill>
                                <a:schemeClr val="tx1"/>
                              </a:solidFill>
                              <a:latin typeface="Cambria Math" panose="02040503050406030204" pitchFamily="18" charset="0"/>
                              <a:ea typeface="Cambria Math" panose="02040503050406030204" pitchFamily="18" charset="0"/>
                            </a:rPr>
                            <m:t>𝑋</m:t>
                          </m:r>
                        </m:e>
                        <m:sub>
                          <m:r>
                            <a:rPr lang="en-US" sz="1000" b="0" i="1">
                              <a:solidFill>
                                <a:schemeClr val="tx1"/>
                              </a:solidFill>
                              <a:latin typeface="Cambria Math" panose="02040503050406030204" pitchFamily="18" charset="0"/>
                              <a:ea typeface="Cambria Math" panose="02040503050406030204" pitchFamily="18" charset="0"/>
                            </a:rPr>
                            <m:t>𝑐</m:t>
                          </m:r>
                        </m:sub>
                      </m:sSub>
                    </m:den>
                  </m:f>
                </m:oMath>
              </a14:m>
              <a:r>
                <a:rPr lang="en-US" sz="1000">
                  <a:solidFill>
                    <a:schemeClr val="tx1"/>
                  </a:solidFill>
                </a:rPr>
                <a:t> (f)</a:t>
              </a:r>
            </a:p>
          </xdr:txBody>
        </xdr:sp>
      </mc:Choice>
      <mc:Fallback xmlns="">
        <xdr:sp macro="" textlink="">
          <xdr:nvSpPr>
            <xdr:cNvPr id="26" name="TextBox 19">
              <a:extLst>
                <a:ext uri="{FF2B5EF4-FFF2-40B4-BE49-F238E27FC236}">
                  <a16:creationId xmlns:a16="http://schemas.microsoft.com/office/drawing/2014/main" id="{8D11B105-C76B-4E79-A9CE-0094380EDEB5}"/>
                </a:ext>
              </a:extLst>
            </xdr:cNvPr>
            <xdr:cNvSpPr txBox="1"/>
          </xdr:nvSpPr>
          <xdr:spPr>
            <a:xfrm>
              <a:off x="5905650" y="40044156"/>
              <a:ext cx="1078525" cy="238708"/>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00" b="0" i="0">
                  <a:solidFill>
                    <a:schemeClr val="tx1"/>
                  </a:solidFill>
                  <a:latin typeface="Cambria Math" panose="02040503050406030204" pitchFamily="18" charset="0"/>
                </a:rPr>
                <a:t>𝐶</a:t>
              </a:r>
              <a:r>
                <a:rPr lang="en-US" sz="1000" i="0">
                  <a:solidFill>
                    <a:schemeClr val="tx1"/>
                  </a:solidFill>
                  <a:latin typeface="Cambria Math" panose="02040503050406030204" pitchFamily="18" charset="0"/>
                </a:rPr>
                <a:t>=</a:t>
              </a:r>
              <a:r>
                <a:rPr lang="en-US" sz="1000" b="0" i="0">
                  <a:solidFill>
                    <a:schemeClr val="tx1"/>
                  </a:solidFill>
                  <a:latin typeface="Cambria Math" panose="02040503050406030204" pitchFamily="18" charset="0"/>
                </a:rPr>
                <a:t>1/(2</a:t>
              </a:r>
              <a:r>
                <a:rPr lang="en-US" sz="1000" b="0" i="0">
                  <a:solidFill>
                    <a:schemeClr val="tx1"/>
                  </a:solidFill>
                  <a:latin typeface="Cambria Math" panose="02040503050406030204" pitchFamily="18" charset="0"/>
                  <a:ea typeface="Cambria Math" panose="02040503050406030204" pitchFamily="18" charset="0"/>
                </a:rPr>
                <a:t>𝜋𝑓𝑋_𝑐 )</a:t>
              </a:r>
              <a:r>
                <a:rPr lang="en-US" sz="1000">
                  <a:solidFill>
                    <a:schemeClr val="tx1"/>
                  </a:solidFill>
                </a:rPr>
                <a:t> (f)</a:t>
              </a:r>
            </a:p>
          </xdr:txBody>
        </xdr:sp>
      </mc:Fallback>
    </mc:AlternateContent>
    <xdr:clientData/>
  </xdr:twoCellAnchor>
  <xdr:twoCellAnchor>
    <xdr:from>
      <xdr:col>21</xdr:col>
      <xdr:colOff>149780</xdr:colOff>
      <xdr:row>176</xdr:row>
      <xdr:rowOff>123549</xdr:rowOff>
    </xdr:from>
    <xdr:to>
      <xdr:col>29</xdr:col>
      <xdr:colOff>85650</xdr:colOff>
      <xdr:row>177</xdr:row>
      <xdr:rowOff>211565</xdr:rowOff>
    </xdr:to>
    <mc:AlternateContent xmlns:mc="http://schemas.openxmlformats.org/markup-compatibility/2006" xmlns:a14="http://schemas.microsoft.com/office/drawing/2010/main">
      <mc:Choice Requires="a14">
        <xdr:sp macro="" textlink="">
          <xdr:nvSpPr>
            <xdr:cNvPr id="27" name="TextBox 34">
              <a:extLst>
                <a:ext uri="{FF2B5EF4-FFF2-40B4-BE49-F238E27FC236}">
                  <a16:creationId xmlns:a16="http://schemas.microsoft.com/office/drawing/2014/main" id="{95DFEDAE-A54F-4EA2-AD7F-74C074C720D4}"/>
                </a:ext>
              </a:extLst>
            </xdr:cNvPr>
            <xdr:cNvSpPr txBox="1"/>
          </xdr:nvSpPr>
          <xdr:spPr>
            <a:xfrm>
              <a:off x="3950255" y="40357149"/>
              <a:ext cx="1383670" cy="316616"/>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n-US" sz="1000" b="0" i="1">
                        <a:solidFill>
                          <a:schemeClr val="tx1"/>
                        </a:solidFill>
                        <a:latin typeface="Cambria Math" panose="02040503050406030204" pitchFamily="18" charset="0"/>
                      </a:rPr>
                      <m:t>𝐿</m:t>
                    </m:r>
                    <m:r>
                      <a:rPr lang="en-US" sz="1000" i="1">
                        <a:solidFill>
                          <a:schemeClr val="tx1"/>
                        </a:solidFill>
                        <a:latin typeface="Cambria Math" panose="02040503050406030204" pitchFamily="18" charset="0"/>
                      </a:rPr>
                      <m:t>=</m:t>
                    </m:r>
                    <m:f>
                      <m:fPr>
                        <m:ctrlPr>
                          <a:rPr lang="en-US" sz="1000" i="1">
                            <a:solidFill>
                              <a:schemeClr val="tx1"/>
                            </a:solidFill>
                            <a:latin typeface="Cambria Math" panose="02040503050406030204" pitchFamily="18" charset="0"/>
                          </a:rPr>
                        </m:ctrlPr>
                      </m:fPr>
                      <m:num>
                        <m:sSub>
                          <m:sSubPr>
                            <m:ctrlPr>
                              <a:rPr lang="en-US" sz="1000" i="1">
                                <a:solidFill>
                                  <a:schemeClr val="tx1"/>
                                </a:solidFill>
                                <a:latin typeface="Cambria Math" panose="02040503050406030204" pitchFamily="18" charset="0"/>
                              </a:rPr>
                            </m:ctrlPr>
                          </m:sSubPr>
                          <m:e>
                            <m:r>
                              <a:rPr lang="en-US" sz="1000" b="0" i="1">
                                <a:solidFill>
                                  <a:schemeClr val="tx1"/>
                                </a:solidFill>
                                <a:latin typeface="Cambria Math" panose="02040503050406030204" pitchFamily="18" charset="0"/>
                              </a:rPr>
                              <m:t>𝑋</m:t>
                            </m:r>
                          </m:e>
                          <m:sub>
                            <m:r>
                              <a:rPr lang="en-US" sz="1000" b="0" i="1">
                                <a:solidFill>
                                  <a:schemeClr val="tx1"/>
                                </a:solidFill>
                                <a:latin typeface="Cambria Math" panose="02040503050406030204" pitchFamily="18" charset="0"/>
                              </a:rPr>
                              <m:t>𝐿</m:t>
                            </m:r>
                          </m:sub>
                        </m:sSub>
                      </m:num>
                      <m:den>
                        <m:r>
                          <a:rPr lang="en-US" sz="1000" b="0" i="1">
                            <a:solidFill>
                              <a:schemeClr val="tx1"/>
                            </a:solidFill>
                            <a:latin typeface="Cambria Math" panose="02040503050406030204" pitchFamily="18" charset="0"/>
                          </a:rPr>
                          <m:t>2</m:t>
                        </m:r>
                        <m:r>
                          <a:rPr lang="en-US" sz="1000" b="0" i="1">
                            <a:solidFill>
                              <a:schemeClr val="tx1"/>
                            </a:solidFill>
                            <a:latin typeface="Cambria Math" panose="02040503050406030204" pitchFamily="18" charset="0"/>
                            <a:ea typeface="Cambria Math" panose="02040503050406030204" pitchFamily="18" charset="0"/>
                          </a:rPr>
                          <m:t>𝜋</m:t>
                        </m:r>
                        <m:r>
                          <a:rPr lang="en-US" sz="1000" b="0" i="1">
                            <a:solidFill>
                              <a:schemeClr val="tx1"/>
                            </a:solidFill>
                            <a:latin typeface="Cambria Math" panose="02040503050406030204" pitchFamily="18" charset="0"/>
                            <a:ea typeface="Cambria Math" panose="02040503050406030204" pitchFamily="18" charset="0"/>
                          </a:rPr>
                          <m:t>𝑓</m:t>
                        </m:r>
                      </m:den>
                    </m:f>
                    <m:r>
                      <a:rPr lang="en-US" sz="1000" b="0" i="1">
                        <a:solidFill>
                          <a:schemeClr val="tx1"/>
                        </a:solidFill>
                        <a:latin typeface="Cambria Math" panose="02040503050406030204" pitchFamily="18" charset="0"/>
                        <a:ea typeface="Cambria Math" panose="02040503050406030204" pitchFamily="18" charset="0"/>
                      </a:rPr>
                      <m:t> (</m:t>
                    </m:r>
                    <m:r>
                      <a:rPr lang="en-US" sz="1000" b="0" i="1">
                        <a:solidFill>
                          <a:schemeClr val="tx1"/>
                        </a:solidFill>
                        <a:latin typeface="Cambria Math" panose="02040503050406030204" pitchFamily="18" charset="0"/>
                        <a:ea typeface="Cambria Math" panose="02040503050406030204" pitchFamily="18" charset="0"/>
                      </a:rPr>
                      <m:t>𝐻</m:t>
                    </m:r>
                    <m:r>
                      <a:rPr lang="en-US" sz="1000" b="0" i="1">
                        <a:solidFill>
                          <a:schemeClr val="tx1"/>
                        </a:solidFill>
                        <a:latin typeface="Cambria Math" panose="02040503050406030204" pitchFamily="18" charset="0"/>
                        <a:ea typeface="Cambria Math" panose="02040503050406030204" pitchFamily="18" charset="0"/>
                      </a:rPr>
                      <m:t>)</m:t>
                    </m:r>
                  </m:oMath>
                </m:oMathPara>
              </a14:m>
              <a:endParaRPr lang="en-US" sz="1000">
                <a:solidFill>
                  <a:schemeClr val="tx1"/>
                </a:solidFill>
              </a:endParaRPr>
            </a:p>
          </xdr:txBody>
        </xdr:sp>
      </mc:Choice>
      <mc:Fallback xmlns="">
        <xdr:sp macro="" textlink="">
          <xdr:nvSpPr>
            <xdr:cNvPr id="27" name="TextBox 34">
              <a:extLst>
                <a:ext uri="{FF2B5EF4-FFF2-40B4-BE49-F238E27FC236}">
                  <a16:creationId xmlns:a16="http://schemas.microsoft.com/office/drawing/2014/main" id="{95DFEDAE-A54F-4EA2-AD7F-74C074C720D4}"/>
                </a:ext>
              </a:extLst>
            </xdr:cNvPr>
            <xdr:cNvSpPr txBox="1"/>
          </xdr:nvSpPr>
          <xdr:spPr>
            <a:xfrm>
              <a:off x="3950255" y="40357149"/>
              <a:ext cx="1383670" cy="316616"/>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pPr/>
              <a:r>
                <a:rPr lang="en-US" sz="1000" b="0" i="0">
                  <a:solidFill>
                    <a:schemeClr val="tx1"/>
                  </a:solidFill>
                  <a:latin typeface="Cambria Math" panose="02040503050406030204" pitchFamily="18" charset="0"/>
                </a:rPr>
                <a:t>𝐿</a:t>
              </a:r>
              <a:r>
                <a:rPr lang="en-US" sz="1000" i="0">
                  <a:solidFill>
                    <a:schemeClr val="tx1"/>
                  </a:solidFill>
                  <a:latin typeface="Cambria Math" panose="02040503050406030204" pitchFamily="18" charset="0"/>
                </a:rPr>
                <a:t>=</a:t>
              </a:r>
              <a:r>
                <a:rPr lang="en-US" sz="1000" b="0" i="0">
                  <a:solidFill>
                    <a:schemeClr val="tx1"/>
                  </a:solidFill>
                  <a:latin typeface="Cambria Math" panose="02040503050406030204" pitchFamily="18" charset="0"/>
                </a:rPr>
                <a:t>𝑋_𝐿/2</a:t>
              </a:r>
              <a:r>
                <a:rPr lang="en-US" sz="1000" b="0" i="0">
                  <a:solidFill>
                    <a:schemeClr val="tx1"/>
                  </a:solidFill>
                  <a:latin typeface="Cambria Math" panose="02040503050406030204" pitchFamily="18" charset="0"/>
                  <a:ea typeface="Cambria Math" panose="02040503050406030204" pitchFamily="18" charset="0"/>
                </a:rPr>
                <a:t>𝜋𝑓  (𝐻)</a:t>
              </a:r>
              <a:endParaRPr lang="en-US" sz="1000">
                <a:solidFill>
                  <a:schemeClr val="tx1"/>
                </a:solidFill>
              </a:endParaRPr>
            </a:p>
          </xdr:txBody>
        </xdr:sp>
      </mc:Fallback>
    </mc:AlternateContent>
    <xdr:clientData/>
  </xdr:twoCellAnchor>
  <xdr:twoCellAnchor>
    <xdr:from>
      <xdr:col>6</xdr:col>
      <xdr:colOff>72956</xdr:colOff>
      <xdr:row>171</xdr:row>
      <xdr:rowOff>161972</xdr:rowOff>
    </xdr:from>
    <xdr:to>
      <xdr:col>6</xdr:col>
      <xdr:colOff>72956</xdr:colOff>
      <xdr:row>183</xdr:row>
      <xdr:rowOff>6117</xdr:rowOff>
    </xdr:to>
    <xdr:cxnSp macro="">
      <xdr:nvCxnSpPr>
        <xdr:cNvPr id="28" name="Straight Arrow Connector 27">
          <a:extLst>
            <a:ext uri="{FF2B5EF4-FFF2-40B4-BE49-F238E27FC236}">
              <a16:creationId xmlns:a16="http://schemas.microsoft.com/office/drawing/2014/main" id="{DB3A3B15-5DF3-4CE2-BC9A-2D76EF830D75}"/>
            </a:ext>
          </a:extLst>
        </xdr:cNvPr>
        <xdr:cNvCxnSpPr/>
      </xdr:nvCxnSpPr>
      <xdr:spPr>
        <a:xfrm flipV="1">
          <a:off x="1158806" y="39252572"/>
          <a:ext cx="0" cy="2587345"/>
        </a:xfrm>
        <a:prstGeom prst="straightConnector1">
          <a:avLst/>
        </a:prstGeom>
        <a:ln w="254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85726</xdr:colOff>
      <xdr:row>176</xdr:row>
      <xdr:rowOff>158638</xdr:rowOff>
    </xdr:from>
    <xdr:to>
      <xdr:col>6</xdr:col>
      <xdr:colOff>72957</xdr:colOff>
      <xdr:row>178</xdr:row>
      <xdr:rowOff>9451</xdr:rowOff>
    </xdr:to>
    <xdr:sp macro="" textlink="">
      <xdr:nvSpPr>
        <xdr:cNvPr id="29" name="TextBox 21">
          <a:extLst>
            <a:ext uri="{FF2B5EF4-FFF2-40B4-BE49-F238E27FC236}">
              <a16:creationId xmlns:a16="http://schemas.microsoft.com/office/drawing/2014/main" id="{2D15579D-01EC-4224-9462-16BCD47A6278}"/>
            </a:ext>
          </a:extLst>
        </xdr:cNvPr>
        <xdr:cNvSpPr txBox="1"/>
      </xdr:nvSpPr>
      <xdr:spPr>
        <a:xfrm>
          <a:off x="628651" y="40392238"/>
          <a:ext cx="530156" cy="308013"/>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400" b="1"/>
            <a:t>V</a:t>
          </a:r>
          <a:r>
            <a:rPr lang="en-US" sz="1400" b="1" baseline="-25000"/>
            <a:t>LN</a:t>
          </a:r>
        </a:p>
      </xdr:txBody>
    </xdr:sp>
    <xdr:clientData/>
  </xdr:twoCellAnchor>
  <xdr:twoCellAnchor>
    <xdr:from>
      <xdr:col>9</xdr:col>
      <xdr:colOff>11972</xdr:colOff>
      <xdr:row>173</xdr:row>
      <xdr:rowOff>121694</xdr:rowOff>
    </xdr:from>
    <xdr:to>
      <xdr:col>11</xdr:col>
      <xdr:colOff>114532</xdr:colOff>
      <xdr:row>174</xdr:row>
      <xdr:rowOff>205440</xdr:rowOff>
    </xdr:to>
    <xdr:sp macro="" textlink="">
      <xdr:nvSpPr>
        <xdr:cNvPr id="30" name="TextBox 22">
          <a:extLst>
            <a:ext uri="{FF2B5EF4-FFF2-40B4-BE49-F238E27FC236}">
              <a16:creationId xmlns:a16="http://schemas.microsoft.com/office/drawing/2014/main" id="{D56927F4-D019-49CE-A157-5B775EF8B67D}"/>
            </a:ext>
          </a:extLst>
        </xdr:cNvPr>
        <xdr:cNvSpPr txBox="1"/>
      </xdr:nvSpPr>
      <xdr:spPr>
        <a:xfrm>
          <a:off x="1640747" y="39669494"/>
          <a:ext cx="464510" cy="312346"/>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600" b="1"/>
            <a:t>JX</a:t>
          </a:r>
          <a:r>
            <a:rPr lang="en-US" sz="1600" b="1" baseline="-25000"/>
            <a:t>L</a:t>
          </a:r>
        </a:p>
      </xdr:txBody>
    </xdr:sp>
    <xdr:clientData/>
  </xdr:twoCellAnchor>
  <xdr:twoCellAnchor>
    <xdr:from>
      <xdr:col>8</xdr:col>
      <xdr:colOff>176101</xdr:colOff>
      <xdr:row>182</xdr:row>
      <xdr:rowOff>91448</xdr:rowOff>
    </xdr:from>
    <xdr:to>
      <xdr:col>12</xdr:col>
      <xdr:colOff>9526</xdr:colOff>
      <xdr:row>183</xdr:row>
      <xdr:rowOff>175194</xdr:rowOff>
    </xdr:to>
    <xdr:sp macro="" textlink="">
      <xdr:nvSpPr>
        <xdr:cNvPr id="31" name="TextBox 23">
          <a:extLst>
            <a:ext uri="{FF2B5EF4-FFF2-40B4-BE49-F238E27FC236}">
              <a16:creationId xmlns:a16="http://schemas.microsoft.com/office/drawing/2014/main" id="{FCB7A531-B1FA-437C-95BF-98D3BDC925CB}"/>
            </a:ext>
          </a:extLst>
        </xdr:cNvPr>
        <xdr:cNvSpPr txBox="1"/>
      </xdr:nvSpPr>
      <xdr:spPr>
        <a:xfrm>
          <a:off x="1623901" y="41696648"/>
          <a:ext cx="557325" cy="312346"/>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600" b="1"/>
            <a:t>-JX</a:t>
          </a:r>
          <a:r>
            <a:rPr lang="en-US" sz="1600" b="1" baseline="-25000"/>
            <a:t>C</a:t>
          </a:r>
        </a:p>
      </xdr:txBody>
    </xdr:sp>
    <xdr:clientData/>
  </xdr:twoCellAnchor>
  <xdr:twoCellAnchor editAs="oneCell">
    <xdr:from>
      <xdr:col>54</xdr:col>
      <xdr:colOff>131990</xdr:colOff>
      <xdr:row>58</xdr:row>
      <xdr:rowOff>163286</xdr:rowOff>
    </xdr:from>
    <xdr:to>
      <xdr:col>65</xdr:col>
      <xdr:colOff>138793</xdr:colOff>
      <xdr:row>75</xdr:row>
      <xdr:rowOff>136072</xdr:rowOff>
    </xdr:to>
    <xdr:pic>
      <xdr:nvPicPr>
        <xdr:cNvPr id="32" name="Graphic 31">
          <a:extLst>
            <a:ext uri="{FF2B5EF4-FFF2-40B4-BE49-F238E27FC236}">
              <a16:creationId xmlns:a16="http://schemas.microsoft.com/office/drawing/2014/main" id="{00E326EE-2C5C-4500-ABC6-E15C925601D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9904640" y="13422086"/>
          <a:ext cx="1997528" cy="3858986"/>
        </a:xfrm>
        <a:prstGeom prst="rect">
          <a:avLst/>
        </a:prstGeom>
      </xdr:spPr>
    </xdr:pic>
    <xdr:clientData/>
  </xdr:twoCellAnchor>
  <xdr:twoCellAnchor editAs="oneCell">
    <xdr:from>
      <xdr:col>2</xdr:col>
      <xdr:colOff>170089</xdr:colOff>
      <xdr:row>170</xdr:row>
      <xdr:rowOff>54428</xdr:rowOff>
    </xdr:from>
    <xdr:to>
      <xdr:col>13</xdr:col>
      <xdr:colOff>6804</xdr:colOff>
      <xdr:row>185</xdr:row>
      <xdr:rowOff>149678</xdr:rowOff>
    </xdr:to>
    <xdr:pic>
      <xdr:nvPicPr>
        <xdr:cNvPr id="33" name="Graphic 32">
          <a:extLst>
            <a:ext uri="{FF2B5EF4-FFF2-40B4-BE49-F238E27FC236}">
              <a16:creationId xmlns:a16="http://schemas.microsoft.com/office/drawing/2014/main" id="{C79B1173-6707-4226-B977-BDF1E614464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32039" y="38916428"/>
          <a:ext cx="1827440" cy="3524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FE1208D5-70F6-4A7B-AA2E-DB8ACC3FBF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152398</xdr:rowOff>
    </xdr:from>
    <xdr:ext cx="1638301" cy="819151"/>
    <xdr:pic>
      <xdr:nvPicPr>
        <xdr:cNvPr id="3" name="Picture 2">
          <a:extLst>
            <a:ext uri="{FF2B5EF4-FFF2-40B4-BE49-F238E27FC236}">
              <a16:creationId xmlns:a16="http://schemas.microsoft.com/office/drawing/2014/main" id="{3B4D05A9-E457-402E-B04C-44ECD3AA07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80998"/>
          <a:ext cx="1638301" cy="819151"/>
        </a:xfrm>
        <a:prstGeom prst="rect">
          <a:avLst/>
        </a:prstGeom>
      </xdr:spPr>
    </xdr:pic>
    <xdr:clientData/>
  </xdr:oneCellAnchor>
  <xdr:oneCellAnchor>
    <xdr:from>
      <xdr:col>32</xdr:col>
      <xdr:colOff>19049</xdr:colOff>
      <xdr:row>50</xdr:row>
      <xdr:rowOff>152398</xdr:rowOff>
    </xdr:from>
    <xdr:ext cx="1638301" cy="819151"/>
    <xdr:pic>
      <xdr:nvPicPr>
        <xdr:cNvPr id="4" name="Picture 3">
          <a:extLst>
            <a:ext uri="{FF2B5EF4-FFF2-40B4-BE49-F238E27FC236}">
              <a16:creationId xmlns:a16="http://schemas.microsoft.com/office/drawing/2014/main" id="{6EBF1DBD-D70D-445A-AAE3-A51A9434F9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82398"/>
          <a:ext cx="1638301" cy="819151"/>
        </a:xfrm>
        <a:prstGeom prst="rect">
          <a:avLst/>
        </a:prstGeom>
      </xdr:spPr>
    </xdr:pic>
    <xdr:clientData/>
  </xdr:oneCellAnchor>
  <xdr:oneCellAnchor>
    <xdr:from>
      <xdr:col>74</xdr:col>
      <xdr:colOff>19049</xdr:colOff>
      <xdr:row>50</xdr:row>
      <xdr:rowOff>152398</xdr:rowOff>
    </xdr:from>
    <xdr:ext cx="1638301" cy="819151"/>
    <xdr:pic>
      <xdr:nvPicPr>
        <xdr:cNvPr id="5" name="Picture 4">
          <a:extLst>
            <a:ext uri="{FF2B5EF4-FFF2-40B4-BE49-F238E27FC236}">
              <a16:creationId xmlns:a16="http://schemas.microsoft.com/office/drawing/2014/main" id="{EDBC3451-5A60-4817-961F-1A9E323500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82398"/>
          <a:ext cx="1638301" cy="819151"/>
        </a:xfrm>
        <a:prstGeom prst="rect">
          <a:avLst/>
        </a:prstGeom>
      </xdr:spPr>
    </xdr:pic>
    <xdr:clientData/>
  </xdr:oneCellAnchor>
  <xdr:oneCellAnchor>
    <xdr:from>
      <xdr:col>32</xdr:col>
      <xdr:colOff>19049</xdr:colOff>
      <xdr:row>99</xdr:row>
      <xdr:rowOff>152398</xdr:rowOff>
    </xdr:from>
    <xdr:ext cx="1638301" cy="819151"/>
    <xdr:pic>
      <xdr:nvPicPr>
        <xdr:cNvPr id="6" name="Picture 5">
          <a:extLst>
            <a:ext uri="{FF2B5EF4-FFF2-40B4-BE49-F238E27FC236}">
              <a16:creationId xmlns:a16="http://schemas.microsoft.com/office/drawing/2014/main" id="{B7655B56-3A51-4B65-B5D6-05244A021E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22783798"/>
          <a:ext cx="1638301" cy="819151"/>
        </a:xfrm>
        <a:prstGeom prst="rect">
          <a:avLst/>
        </a:prstGeom>
      </xdr:spPr>
    </xdr:pic>
    <xdr:clientData/>
  </xdr:oneCellAnchor>
  <xdr:oneCellAnchor>
    <xdr:from>
      <xdr:col>74</xdr:col>
      <xdr:colOff>19049</xdr:colOff>
      <xdr:row>99</xdr:row>
      <xdr:rowOff>152398</xdr:rowOff>
    </xdr:from>
    <xdr:ext cx="1638301" cy="819151"/>
    <xdr:pic>
      <xdr:nvPicPr>
        <xdr:cNvPr id="7" name="Picture 6">
          <a:extLst>
            <a:ext uri="{FF2B5EF4-FFF2-40B4-BE49-F238E27FC236}">
              <a16:creationId xmlns:a16="http://schemas.microsoft.com/office/drawing/2014/main" id="{EE61FB0F-6813-4C97-9E9A-E602F2BB82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22783798"/>
          <a:ext cx="1638301" cy="819151"/>
        </a:xfrm>
        <a:prstGeom prst="rect">
          <a:avLst/>
        </a:prstGeom>
      </xdr:spPr>
    </xdr:pic>
    <xdr:clientData/>
  </xdr:oneCellAnchor>
  <xdr:oneCellAnchor>
    <xdr:from>
      <xdr:col>32</xdr:col>
      <xdr:colOff>19049</xdr:colOff>
      <xdr:row>148</xdr:row>
      <xdr:rowOff>152398</xdr:rowOff>
    </xdr:from>
    <xdr:ext cx="1638301" cy="819151"/>
    <xdr:pic>
      <xdr:nvPicPr>
        <xdr:cNvPr id="8" name="Picture 7">
          <a:extLst>
            <a:ext uri="{FF2B5EF4-FFF2-40B4-BE49-F238E27FC236}">
              <a16:creationId xmlns:a16="http://schemas.microsoft.com/office/drawing/2014/main" id="{F37A2ECB-51E0-41B3-A472-9BA078E2F6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33985198"/>
          <a:ext cx="1638301" cy="819151"/>
        </a:xfrm>
        <a:prstGeom prst="rect">
          <a:avLst/>
        </a:prstGeom>
      </xdr:spPr>
    </xdr:pic>
    <xdr:clientData/>
  </xdr:oneCellAnchor>
  <xdr:oneCellAnchor>
    <xdr:from>
      <xdr:col>74</xdr:col>
      <xdr:colOff>19049</xdr:colOff>
      <xdr:row>148</xdr:row>
      <xdr:rowOff>152398</xdr:rowOff>
    </xdr:from>
    <xdr:ext cx="1638301" cy="819151"/>
    <xdr:pic>
      <xdr:nvPicPr>
        <xdr:cNvPr id="9" name="Picture 8">
          <a:extLst>
            <a:ext uri="{FF2B5EF4-FFF2-40B4-BE49-F238E27FC236}">
              <a16:creationId xmlns:a16="http://schemas.microsoft.com/office/drawing/2014/main" id="{7E0F8C6E-C636-4C17-9A8D-C406A500CA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3985198"/>
          <a:ext cx="1638301" cy="819151"/>
        </a:xfrm>
        <a:prstGeom prst="rect">
          <a:avLst/>
        </a:prstGeom>
      </xdr:spPr>
    </xdr:pic>
    <xdr:clientData/>
  </xdr:oneCellAnchor>
  <xdr:twoCellAnchor>
    <xdr:from>
      <xdr:col>44</xdr:col>
      <xdr:colOff>175888</xdr:colOff>
      <xdr:row>123</xdr:row>
      <xdr:rowOff>111933</xdr:rowOff>
    </xdr:from>
    <xdr:to>
      <xdr:col>82</xdr:col>
      <xdr:colOff>40408</xdr:colOff>
      <xdr:row>143</xdr:row>
      <xdr:rowOff>212912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83DF85EC-A26D-4661-AE78-9308BAEE3DAB}"/>
                </a:ext>
              </a:extLst>
            </xdr:cNvPr>
            <xdr:cNvSpPr txBox="1"/>
          </xdr:nvSpPr>
          <xdr:spPr>
            <a:xfrm>
              <a:off x="8138788" y="28229733"/>
              <a:ext cx="6741570" cy="46729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spreadsheet is used to support the design, tuning, and component selection associated with </a:t>
              </a:r>
              <a:r>
                <a:rPr lang="en-US" sz="1100" b="1">
                  <a:solidFill>
                    <a:schemeClr val="dk1"/>
                  </a:solidFill>
                  <a:effectLst/>
                  <a:latin typeface="+mn-lt"/>
                  <a:ea typeface="+mn-ea"/>
                  <a:cs typeface="+mn-cs"/>
                </a:rPr>
                <a:t>HP harmonic filters</a:t>
              </a:r>
              <a:r>
                <a:rPr lang="en-US" sz="1100">
                  <a:solidFill>
                    <a:schemeClr val="dk1"/>
                  </a:solidFill>
                  <a:effectLst/>
                  <a:latin typeface="+mn-lt"/>
                  <a:ea typeface="+mn-ea"/>
                  <a:cs typeface="+mn-cs"/>
                </a:rPr>
                <a:t> as engineered by </a:t>
              </a:r>
              <a:r>
                <a:rPr lang="en-US" sz="1100" b="1">
                  <a:solidFill>
                    <a:schemeClr val="dk1"/>
                  </a:solidFill>
                  <a:effectLst/>
                  <a:latin typeface="+mn-lt"/>
                  <a:ea typeface="+mn-ea"/>
                  <a:cs typeface="+mn-cs"/>
                </a:rPr>
                <a:t>VarStec Power Solutions</a:t>
              </a:r>
              <a:r>
                <a:rPr lang="en-US" sz="1100">
                  <a:solidFill>
                    <a:schemeClr val="dk1"/>
                  </a:solidFill>
                  <a:effectLst/>
                  <a:latin typeface="+mn-lt"/>
                  <a:ea typeface="+mn-ea"/>
                  <a:cs typeface="+mn-cs"/>
                </a:rPr>
                <a:t>. It provides a consistent methodology for determining all electrical parameters required for proper filter performance, including reactances, inductance, capacitor reactive power and voltage ratings, harmonic currents, voltage stresses, and damping resistance. The summary below describes the calculation process applied throughout the tool using a 13.8kV 1000 kvar filter branch as an example. The tool assumes that harmonic simulations  have been conducted and that the current spectrum into the harmonic filter is known. These values are inserted in the blue highlighted fields of rows 24 and 25 on page 1.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For additional information, engineering support, or custom filter designs, contact VarStec Power Solutions at </a:t>
              </a:r>
              <a:r>
                <a:rPr lang="en-US" sz="1100" b="1">
                  <a:solidFill>
                    <a:schemeClr val="dk1"/>
                  </a:solidFill>
                  <a:effectLst/>
                  <a:latin typeface="+mn-lt"/>
                  <a:ea typeface="+mn-ea"/>
                  <a:cs typeface="+mn-cs"/>
                </a:rPr>
                <a:t>info@varstec.com</a:t>
              </a:r>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design process begins by establishing the fundamental kvar requirement of the harmonic filter, typically based on the kvar demand of the connected load or the kvar allocation assigned to each stage of a multi-stage harmonic filter. This requirement is defined as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𝑄</m:t>
                      </m:r>
                    </m:e>
                    <m:sub>
                      <m:r>
                        <a:rPr lang="en-US" sz="1100" i="1">
                          <a:solidFill>
                            <a:schemeClr val="dk1"/>
                          </a:solidFill>
                          <a:effectLst/>
                          <a:latin typeface="Cambria Math" panose="02040503050406030204" pitchFamily="18" charset="0"/>
                          <a:ea typeface="+mn-ea"/>
                          <a:cs typeface="+mn-cs"/>
                        </a:rPr>
                        <m:t>𝑒𝑓𝑓</m:t>
                      </m:r>
                    </m:sub>
                  </m:sSub>
                </m:oMath>
              </a14:m>
              <a:r>
                <a:rPr lang="en-US" sz="1100">
                  <a:solidFill>
                    <a:schemeClr val="dk1"/>
                  </a:solidFill>
                  <a:effectLst/>
                  <a:latin typeface="+mn-lt"/>
                  <a:ea typeface="+mn-ea"/>
                  <a:cs typeface="+mn-cs"/>
                </a:rPr>
                <a:t>and forms the foundation of all subsequent calculations. Using the system’s nominal line-to-line voltage </a:t>
              </a:r>
              <a14:m>
                <m:oMath xmlns:m="http://schemas.openxmlformats.org/officeDocument/2006/math">
                  <m:r>
                    <a:rPr lang="en-US" sz="1100" i="1">
                      <a:solidFill>
                        <a:schemeClr val="dk1"/>
                      </a:solidFill>
                      <a:effectLst/>
                      <a:latin typeface="Cambria Math" panose="02040503050406030204" pitchFamily="18" charset="0"/>
                      <a:ea typeface="+mn-ea"/>
                      <a:cs typeface="+mn-cs"/>
                    </a:rPr>
                    <m:t>𝑘</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𝐿𝐿𝑆𝑌𝑆</m:t>
                      </m:r>
                    </m:sub>
                  </m:sSub>
                </m:oMath>
              </a14:m>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the spreadsheet determines the fundamental capacitive reactance of the capacitor section,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𝑒𝑓𝑓</m:t>
                      </m:r>
                    </m:sub>
                  </m:sSub>
                </m:oMath>
              </a14:m>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For a HP filter, this value directly represents 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and 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 must be summed together as one subtracts from the other. X</a:t>
              </a:r>
              <a:r>
                <a:rPr lang="en-US" sz="1100" baseline="-25000">
                  <a:solidFill>
                    <a:schemeClr val="dk1"/>
                  </a:solidFill>
                  <a:effectLst/>
                  <a:latin typeface="+mn-lt"/>
                  <a:ea typeface="+mn-ea"/>
                  <a:cs typeface="+mn-cs"/>
                </a:rPr>
                <a:t>eff</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and individually are calculated using the relationship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𝐶</m:t>
                      </m:r>
                    </m:sub>
                  </m:sSub>
                  <m:r>
                    <a:rPr lang="en-US" sz="1100" i="1">
                      <a:solidFill>
                        <a:schemeClr val="dk1"/>
                      </a:solidFill>
                      <a:effectLst/>
                      <a:latin typeface="Cambria Math" panose="02040503050406030204" pitchFamily="18" charset="0"/>
                      <a:ea typeface="+mn-ea"/>
                      <a:cs typeface="+mn-cs"/>
                    </a:rPr>
                    <m:t>=</m:t>
                  </m:r>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sSup>
                            <m:sSupPr>
                              <m:ctrlPr>
                                <a:rPr lang="en-US" sz="1100" i="1">
                                  <a:solidFill>
                                    <a:schemeClr val="dk1"/>
                                  </a:solidFill>
                                  <a:effectLst/>
                                  <a:latin typeface="Cambria Math" panose="02040503050406030204" pitchFamily="18" charset="0"/>
                                  <a:ea typeface="+mn-ea"/>
                                  <a:cs typeface="+mn-cs"/>
                                </a:rPr>
                              </m:ctrlPr>
                            </m:sSupPr>
                            <m:e>
                              <m:r>
                                <a:rPr lang="en-US" sz="1100" i="1">
                                  <a:solidFill>
                                    <a:schemeClr val="dk1"/>
                                  </a:solidFill>
                                  <a:effectLst/>
                                  <a:latin typeface="Cambria Math" panose="02040503050406030204" pitchFamily="18" charset="0"/>
                                  <a:ea typeface="+mn-ea"/>
                                  <a:cs typeface="+mn-cs"/>
                                </a:rPr>
                                <m:t>h</m:t>
                              </m:r>
                            </m:e>
                            <m:sup>
                              <m:r>
                                <a:rPr lang="en-US" sz="1100" i="1">
                                  <a:solidFill>
                                    <a:schemeClr val="dk1"/>
                                  </a:solidFill>
                                  <a:effectLst/>
                                  <a:latin typeface="Cambria Math" panose="02040503050406030204" pitchFamily="18" charset="0"/>
                                  <a:ea typeface="+mn-ea"/>
                                  <a:cs typeface="+mn-cs"/>
                                </a:rPr>
                                <m:t>2</m:t>
                              </m:r>
                            </m:sup>
                          </m:sSup>
                        </m:num>
                        <m:den>
                          <m:sSup>
                            <m:sSupPr>
                              <m:ctrlPr>
                                <a:rPr lang="en-US" sz="1100" i="1">
                                  <a:solidFill>
                                    <a:schemeClr val="dk1"/>
                                  </a:solidFill>
                                  <a:effectLst/>
                                  <a:latin typeface="Cambria Math" panose="02040503050406030204" pitchFamily="18" charset="0"/>
                                  <a:ea typeface="+mn-ea"/>
                                  <a:cs typeface="+mn-cs"/>
                                </a:rPr>
                              </m:ctrlPr>
                            </m:sSupPr>
                            <m:e>
                              <m:r>
                                <a:rPr lang="en-US" sz="1100" i="1">
                                  <a:solidFill>
                                    <a:schemeClr val="dk1"/>
                                  </a:solidFill>
                                  <a:effectLst/>
                                  <a:latin typeface="Cambria Math" panose="02040503050406030204" pitchFamily="18" charset="0"/>
                                  <a:ea typeface="+mn-ea"/>
                                  <a:cs typeface="+mn-cs"/>
                                </a:rPr>
                                <m:t>h</m:t>
                              </m:r>
                            </m:e>
                            <m:sup>
                              <m:r>
                                <a:rPr lang="en-US" sz="1100" i="1">
                                  <a:solidFill>
                                    <a:schemeClr val="dk1"/>
                                  </a:solidFill>
                                  <a:effectLst/>
                                  <a:latin typeface="Cambria Math" panose="02040503050406030204" pitchFamily="18" charset="0"/>
                                  <a:ea typeface="+mn-ea"/>
                                  <a:cs typeface="+mn-cs"/>
                                </a:rPr>
                                <m:t>2</m:t>
                              </m:r>
                            </m:sup>
                          </m:sSup>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1</m:t>
                          </m:r>
                        </m:den>
                      </m:f>
                    </m:e>
                  </m:d>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𝑒𝑓𝑓</m:t>
                      </m:r>
                    </m:sub>
                  </m:sSub>
                </m:oMath>
              </a14:m>
              <a:r>
                <a:rPr lang="en-US" sz="1100">
                  <a:solidFill>
                    <a:schemeClr val="dk1"/>
                  </a:solidFill>
                  <a:effectLst/>
                  <a:latin typeface="+mn-lt"/>
                  <a:ea typeface="+mn-ea"/>
                  <a:cs typeface="+mn-cs"/>
                </a:rPr>
                <a:t> . </a:t>
              </a:r>
              <a:r>
                <a:rPr lang="en-US" sz="1100" baseline="-25000">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xdr:txBody>
        </xdr:sp>
      </mc:Choice>
      <mc:Fallback xmlns="">
        <xdr:sp macro="" textlink="">
          <xdr:nvSpPr>
            <xdr:cNvPr id="10" name="TextBox 9">
              <a:extLst>
                <a:ext uri="{FF2B5EF4-FFF2-40B4-BE49-F238E27FC236}">
                  <a16:creationId xmlns:a16="http://schemas.microsoft.com/office/drawing/2014/main" id="{83DF85EC-A26D-4661-AE78-9308BAEE3DAB}"/>
                </a:ext>
              </a:extLst>
            </xdr:cNvPr>
            <xdr:cNvSpPr txBox="1"/>
          </xdr:nvSpPr>
          <xdr:spPr>
            <a:xfrm>
              <a:off x="8138788" y="28229733"/>
              <a:ext cx="6741570" cy="46729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spreadsheet is used to support the design, tuning, and component selection associated with </a:t>
              </a:r>
              <a:r>
                <a:rPr lang="en-US" sz="1100" b="1">
                  <a:solidFill>
                    <a:schemeClr val="dk1"/>
                  </a:solidFill>
                  <a:effectLst/>
                  <a:latin typeface="+mn-lt"/>
                  <a:ea typeface="+mn-ea"/>
                  <a:cs typeface="+mn-cs"/>
                </a:rPr>
                <a:t>HP harmonic filters</a:t>
              </a:r>
              <a:r>
                <a:rPr lang="en-US" sz="1100">
                  <a:solidFill>
                    <a:schemeClr val="dk1"/>
                  </a:solidFill>
                  <a:effectLst/>
                  <a:latin typeface="+mn-lt"/>
                  <a:ea typeface="+mn-ea"/>
                  <a:cs typeface="+mn-cs"/>
                </a:rPr>
                <a:t> as engineered by </a:t>
              </a:r>
              <a:r>
                <a:rPr lang="en-US" sz="1100" b="1">
                  <a:solidFill>
                    <a:schemeClr val="dk1"/>
                  </a:solidFill>
                  <a:effectLst/>
                  <a:latin typeface="+mn-lt"/>
                  <a:ea typeface="+mn-ea"/>
                  <a:cs typeface="+mn-cs"/>
                </a:rPr>
                <a:t>VarStec Power Solutions</a:t>
              </a:r>
              <a:r>
                <a:rPr lang="en-US" sz="1100">
                  <a:solidFill>
                    <a:schemeClr val="dk1"/>
                  </a:solidFill>
                  <a:effectLst/>
                  <a:latin typeface="+mn-lt"/>
                  <a:ea typeface="+mn-ea"/>
                  <a:cs typeface="+mn-cs"/>
                </a:rPr>
                <a:t>. It provides a consistent methodology for determining all electrical parameters required for proper filter performance, including reactances, inductance, capacitor reactive power and voltage ratings, harmonic currents, voltage stresses, and damping resistance. The summary below describes the calculation process applied throughout the tool using a 13.8kV 1000 kvar filter branch as an example. The tool assumes that harmonic simulations  have been conducted and that the current spectrum into the harmonic filter is known. These values are inserted in the blue highlighted fields of rows 24 and 25 on page 1.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For additional information, engineering support, or custom filter designs, contact VarStec Power Solutions at </a:t>
              </a:r>
              <a:r>
                <a:rPr lang="en-US" sz="1100" b="1">
                  <a:solidFill>
                    <a:schemeClr val="dk1"/>
                  </a:solidFill>
                  <a:effectLst/>
                  <a:latin typeface="+mn-lt"/>
                  <a:ea typeface="+mn-ea"/>
                  <a:cs typeface="+mn-cs"/>
                </a:rPr>
                <a:t>info@varstec.com</a:t>
              </a:r>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design process begins by establishing the fundamental kvar requirement of the harmonic filter, typically based on the kvar demand of the connected load or the kvar allocation assigned to each stage of a multi-stage harmonic filter. This requirement is defined as </a:t>
              </a:r>
              <a:r>
                <a:rPr lang="en-US" sz="1100" i="0">
                  <a:solidFill>
                    <a:schemeClr val="dk1"/>
                  </a:solidFill>
                  <a:effectLst/>
                  <a:latin typeface="Cambria Math" panose="02040503050406030204" pitchFamily="18" charset="0"/>
                  <a:ea typeface="+mn-ea"/>
                  <a:cs typeface="+mn-cs"/>
                </a:rPr>
                <a:t>𝑄_𝑒𝑓𝑓</a:t>
              </a:r>
              <a:r>
                <a:rPr lang="en-US" sz="1100">
                  <a:solidFill>
                    <a:schemeClr val="dk1"/>
                  </a:solidFill>
                  <a:effectLst/>
                  <a:latin typeface="+mn-lt"/>
                  <a:ea typeface="+mn-ea"/>
                  <a:cs typeface="+mn-cs"/>
                </a:rPr>
                <a:t>and forms the foundation of all subsequent calculations. Using the system’s nominal line-to-line voltage </a:t>
              </a:r>
              <a:r>
                <a:rPr lang="en-US" sz="1100" i="0">
                  <a:solidFill>
                    <a:schemeClr val="dk1"/>
                  </a:solidFill>
                  <a:effectLst/>
                  <a:latin typeface="Cambria Math" panose="02040503050406030204" pitchFamily="18" charset="0"/>
                  <a:ea typeface="+mn-ea"/>
                  <a:cs typeface="+mn-cs"/>
                </a:rPr>
                <a:t>𝑘𝑉_𝐿𝐿𝑆𝑌𝑆</a:t>
              </a:r>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the spreadsheet determines the fundamental capacitive reactance of the capacitor section, </a:t>
              </a:r>
              <a:r>
                <a:rPr lang="en-US" sz="1100" i="0">
                  <a:solidFill>
                    <a:schemeClr val="dk1"/>
                  </a:solidFill>
                  <a:effectLst/>
                  <a:latin typeface="Cambria Math" panose="02040503050406030204" pitchFamily="18" charset="0"/>
                  <a:ea typeface="+mn-ea"/>
                  <a:cs typeface="+mn-cs"/>
                </a:rPr>
                <a:t>𝑋_𝑒𝑓𝑓</a:t>
              </a:r>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For a HP filter, this value directly represents 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and 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 must be summed together as one subtracts from the other. X</a:t>
              </a:r>
              <a:r>
                <a:rPr lang="en-US" sz="1100" baseline="-25000">
                  <a:solidFill>
                    <a:schemeClr val="dk1"/>
                  </a:solidFill>
                  <a:effectLst/>
                  <a:latin typeface="+mn-lt"/>
                  <a:ea typeface="+mn-ea"/>
                  <a:cs typeface="+mn-cs"/>
                </a:rPr>
                <a:t>eff</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and individually are calculated using the relationship </a:t>
              </a:r>
              <a:r>
                <a:rPr lang="en-US" sz="1100" i="0">
                  <a:solidFill>
                    <a:schemeClr val="dk1"/>
                  </a:solidFill>
                  <a:effectLst/>
                  <a:latin typeface="Cambria Math" panose="02040503050406030204" pitchFamily="18" charset="0"/>
                  <a:ea typeface="+mn-ea"/>
                  <a:cs typeface="+mn-cs"/>
                </a:rPr>
                <a:t>𝑋_𝐶=(ℎ^2/(ℎ^2−1)) 𝑋_𝑒𝑓𝑓</a:t>
              </a:r>
              <a:r>
                <a:rPr lang="en-US" sz="1100">
                  <a:solidFill>
                    <a:schemeClr val="dk1"/>
                  </a:solidFill>
                  <a:effectLst/>
                  <a:latin typeface="+mn-lt"/>
                  <a:ea typeface="+mn-ea"/>
                  <a:cs typeface="+mn-cs"/>
                </a:rPr>
                <a:t> . </a:t>
              </a:r>
              <a:r>
                <a:rPr lang="en-US" sz="1100" baseline="-25000">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xdr:txBody>
        </xdr:sp>
      </mc:Fallback>
    </mc:AlternateContent>
    <xdr:clientData/>
  </xdr:twoCellAnchor>
  <xdr:twoCellAnchor>
    <xdr:from>
      <xdr:col>44</xdr:col>
      <xdr:colOff>70402</xdr:colOff>
      <xdr:row>25</xdr:row>
      <xdr:rowOff>117638</xdr:rowOff>
    </xdr:from>
    <xdr:to>
      <xdr:col>83</xdr:col>
      <xdr:colOff>81608</xdr:colOff>
      <xdr:row>30</xdr:row>
      <xdr:rowOff>23606</xdr:rowOff>
    </xdr:to>
    <xdr:sp macro="" textlink="">
      <xdr:nvSpPr>
        <xdr:cNvPr id="11" name="TextBox 10">
          <a:extLst>
            <a:ext uri="{FF2B5EF4-FFF2-40B4-BE49-F238E27FC236}">
              <a16:creationId xmlns:a16="http://schemas.microsoft.com/office/drawing/2014/main" id="{8C3553A9-EB7B-4BB0-B520-BDD59533A9D5}"/>
            </a:ext>
          </a:extLst>
        </xdr:cNvPr>
        <xdr:cNvSpPr txBox="1"/>
      </xdr:nvSpPr>
      <xdr:spPr>
        <a:xfrm>
          <a:off x="8033302" y="5832638"/>
          <a:ext cx="7069231" cy="10489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0"/>
            <a:t>The harmonic</a:t>
          </a:r>
          <a:r>
            <a:rPr lang="en-US" b="0" baseline="0"/>
            <a:t> filter </a:t>
          </a:r>
          <a:r>
            <a:rPr lang="en-US" b="0"/>
            <a:t>design must ensure capacitor operating duties stay within IEEE/IEC-rated limits, including the allowable 10% continuous overvoltage. The spreadsheet checks four key parameters against their rated duty: % Rated</a:t>
          </a:r>
          <a:r>
            <a:rPr lang="en-US" b="0" baseline="0"/>
            <a:t> </a:t>
          </a:r>
          <a:r>
            <a:rPr lang="en-US" b="0"/>
            <a:t>Volts, % Crest Voltage, % Amps, % kVAR. If any value exceeds its limit, the cell turns red. In that case, increase the capacitor voltage rating. The objective is to meet the required duty without significantly exceeding the rating, which would increase cost.</a:t>
          </a:r>
          <a:endParaRPr lang="en-US" sz="1100" b="0"/>
        </a:p>
      </xdr:txBody>
    </xdr:sp>
    <xdr:clientData/>
  </xdr:twoCellAnchor>
  <xdr:twoCellAnchor>
    <xdr:from>
      <xdr:col>2</xdr:col>
      <xdr:colOff>0</xdr:colOff>
      <xdr:row>152</xdr:row>
      <xdr:rowOff>4694</xdr:rowOff>
    </xdr:from>
    <xdr:to>
      <xdr:col>40</xdr:col>
      <xdr:colOff>149679</xdr:colOff>
      <xdr:row>166</xdr:row>
      <xdr:rowOff>134471</xdr:rowOff>
    </xdr:to>
    <xdr:sp macro="" textlink="">
      <xdr:nvSpPr>
        <xdr:cNvPr id="12" name="TextBox 11">
          <a:extLst>
            <a:ext uri="{FF2B5EF4-FFF2-40B4-BE49-F238E27FC236}">
              <a16:creationId xmlns:a16="http://schemas.microsoft.com/office/drawing/2014/main" id="{62CCF806-4B27-48C1-B8C3-E547D5839459}"/>
            </a:ext>
          </a:extLst>
        </xdr:cNvPr>
        <xdr:cNvSpPr txBox="1"/>
      </xdr:nvSpPr>
      <xdr:spPr>
        <a:xfrm>
          <a:off x="361950" y="34751894"/>
          <a:ext cx="7026729" cy="3330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With 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known, 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 is computed using the relationship: X</a:t>
          </a:r>
          <a:r>
            <a:rPr lang="en-US" sz="1100" baseline="-25000">
              <a:solidFill>
                <a:schemeClr val="dk1"/>
              </a:solidFill>
              <a:effectLst/>
              <a:latin typeface="+mn-lt"/>
              <a:ea typeface="+mn-ea"/>
              <a:cs typeface="+mn-cs"/>
            </a:rPr>
            <a:t>eff</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L</a:t>
          </a:r>
          <a:r>
            <a:rPr lang="en-US" sz="1100">
              <a:solidFill>
                <a:schemeClr val="dk1"/>
              </a:solidFill>
              <a:effectLst/>
              <a:latin typeface="+mn-lt"/>
              <a:ea typeface="+mn-ea"/>
              <a:cs typeface="+mn-cs"/>
            </a:rPr>
            <a:t>-X</a:t>
          </a:r>
          <a:r>
            <a:rPr lang="en-US" sz="1100" baseline="-25000">
              <a:solidFill>
                <a:schemeClr val="dk1"/>
              </a:solidFill>
              <a:effectLst/>
              <a:latin typeface="+mn-lt"/>
              <a:ea typeface="+mn-ea"/>
              <a:cs typeface="+mn-cs"/>
            </a:rPr>
            <a:t>C</a:t>
          </a:r>
          <a:r>
            <a:rPr lang="en-US" sz="1100">
              <a:solidFill>
                <a:schemeClr val="dk1"/>
              </a:solidFill>
              <a:effectLst/>
              <a:latin typeface="+mn-lt"/>
              <a:ea typeface="+mn-ea"/>
              <a:cs typeface="+mn-cs"/>
            </a:rPr>
            <a:t>. From there L and C are calculated. </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capacitor kvar ratings is then determined using the rated operating voltage. The spreadsheet next evaluates the high-pass damping resistor. Its ohmic value is derived from the specified damping factor (DF) of the HP filter (determined from harmonic simulations), linking the resistor to the tuning reactance at the harmonic frequency. With kvar and reactances established, the spreadsheet computes the fundamental filter current and applies injected harmonic current data to evaluate the resulting capacitor voltage stresses, current duty, and reactive power duty. These computed values are compared against industry-standard capacitor ratings to confirm suitability for the intended application.</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spreadsheet then resolves the fundamental and harmonic currents flowing in the reactor, capacitor and high-pass resistors. This is performed using complex current-divider calculations to ensure accurate representation of harmonic behavior. The watt loss in the damping resistor is subsequently computed and verified against its thermal rating.</a:t>
          </a:r>
        </a:p>
        <a:p>
          <a:br>
            <a:rPr lang="en-US" sz="1100">
              <a:solidFill>
                <a:schemeClr val="dk1"/>
              </a:solidFill>
              <a:effectLst/>
              <a:latin typeface="+mn-lt"/>
              <a:ea typeface="+mn-ea"/>
              <a:cs typeface="+mn-cs"/>
            </a:rPr>
          </a:br>
          <a:r>
            <a:rPr lang="en-US" sz="1100">
              <a:solidFill>
                <a:schemeClr val="dk1"/>
              </a:solidFill>
              <a:effectLst/>
              <a:latin typeface="+mn-lt"/>
              <a:ea typeface="+mn-ea"/>
              <a:cs typeface="+mn-cs"/>
            </a:rPr>
            <a:t>Taken together, these calculations define a complete, consistent, and repeatable </a:t>
          </a:r>
          <a:r>
            <a:rPr lang="en-US" sz="1100" b="1">
              <a:solidFill>
                <a:schemeClr val="dk1"/>
              </a:solidFill>
              <a:effectLst/>
              <a:latin typeface="+mn-lt"/>
              <a:ea typeface="+mn-ea"/>
              <a:cs typeface="+mn-cs"/>
            </a:rPr>
            <a:t>VarStec methodology</a:t>
          </a:r>
          <a:r>
            <a:rPr lang="en-US" sz="1100">
              <a:solidFill>
                <a:schemeClr val="dk1"/>
              </a:solidFill>
              <a:effectLst/>
              <a:latin typeface="+mn-lt"/>
              <a:ea typeface="+mn-ea"/>
              <a:cs typeface="+mn-cs"/>
            </a:rPr>
            <a:t> for the engineering of HP harmonic filters. The spreadsheet determines all critical design parameters, including reactances, inductance, kvar ratings, current loading, voltage stress, and damping characteristics, using standardized electrical notation to provide traceability, transparency, and field-proven reliability.</a:t>
          </a:r>
        </a:p>
        <a:p>
          <a:endParaRPr lang="en-US" sz="1100"/>
        </a:p>
      </xdr:txBody>
    </xdr:sp>
    <xdr:clientData/>
  </xdr:twoCellAnchor>
  <xdr:twoCellAnchor>
    <xdr:from>
      <xdr:col>2</xdr:col>
      <xdr:colOff>135547</xdr:colOff>
      <xdr:row>78</xdr:row>
      <xdr:rowOff>219807</xdr:rowOff>
    </xdr:from>
    <xdr:to>
      <xdr:col>41</xdr:col>
      <xdr:colOff>7327</xdr:colOff>
      <xdr:row>95</xdr:row>
      <xdr:rowOff>43961</xdr:rowOff>
    </xdr:to>
    <xdr:graphicFrame macro="">
      <xdr:nvGraphicFramePr>
        <xdr:cNvPr id="13" name="Chart 12">
          <a:extLst>
            <a:ext uri="{FF2B5EF4-FFF2-40B4-BE49-F238E27FC236}">
              <a16:creationId xmlns:a16="http://schemas.microsoft.com/office/drawing/2014/main" id="{C722EF62-F941-47D0-8FDD-C6FA6A629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44</xdr:col>
      <xdr:colOff>24848</xdr:colOff>
      <xdr:row>103</xdr:row>
      <xdr:rowOff>227071</xdr:rowOff>
    </xdr:from>
    <xdr:to>
      <xdr:col>45</xdr:col>
      <xdr:colOff>108732</xdr:colOff>
      <xdr:row>105</xdr:row>
      <xdr:rowOff>31253</xdr:rowOff>
    </xdr:to>
    <xdr:pic>
      <xdr:nvPicPr>
        <xdr:cNvPr id="14" name="Picture 13">
          <a:extLst>
            <a:ext uri="{FF2B5EF4-FFF2-40B4-BE49-F238E27FC236}">
              <a16:creationId xmlns:a16="http://schemas.microsoft.com/office/drawing/2014/main" id="{6A99C8CE-5F82-4631-93EE-743055D06759}"/>
            </a:ext>
          </a:extLst>
        </xdr:cNvPr>
        <xdr:cNvPicPr>
          <a:picLocks noChangeAspect="1"/>
        </xdr:cNvPicPr>
      </xdr:nvPicPr>
      <xdr:blipFill>
        <a:blip xmlns:r="http://schemas.openxmlformats.org/officeDocument/2006/relationships" r:embed="rId4"/>
        <a:stretch>
          <a:fillRect/>
        </a:stretch>
      </xdr:blipFill>
      <xdr:spPr>
        <a:xfrm>
          <a:off x="7987748" y="23772871"/>
          <a:ext cx="264859" cy="261382"/>
        </a:xfrm>
        <a:prstGeom prst="rect">
          <a:avLst/>
        </a:prstGeom>
      </xdr:spPr>
    </xdr:pic>
    <xdr:clientData/>
  </xdr:twoCellAnchor>
  <xdr:twoCellAnchor editAs="oneCell">
    <xdr:from>
      <xdr:col>43</xdr:col>
      <xdr:colOff>158903</xdr:colOff>
      <xdr:row>121</xdr:row>
      <xdr:rowOff>180974</xdr:rowOff>
    </xdr:from>
    <xdr:to>
      <xdr:col>45</xdr:col>
      <xdr:colOff>114432</xdr:colOff>
      <xdr:row>123</xdr:row>
      <xdr:rowOff>57285</xdr:rowOff>
    </xdr:to>
    <xdr:pic>
      <xdr:nvPicPr>
        <xdr:cNvPr id="15" name="Picture 14">
          <a:extLst>
            <a:ext uri="{FF2B5EF4-FFF2-40B4-BE49-F238E27FC236}">
              <a16:creationId xmlns:a16="http://schemas.microsoft.com/office/drawing/2014/main" id="{D4242A32-A77B-4BA9-A009-15F27EB36239}"/>
            </a:ext>
          </a:extLst>
        </xdr:cNvPr>
        <xdr:cNvPicPr>
          <a:picLocks noChangeAspect="1"/>
        </xdr:cNvPicPr>
      </xdr:nvPicPr>
      <xdr:blipFill>
        <a:blip xmlns:r="http://schemas.openxmlformats.org/officeDocument/2006/relationships" r:embed="rId5"/>
        <a:stretch>
          <a:fillRect/>
        </a:stretch>
      </xdr:blipFill>
      <xdr:spPr>
        <a:xfrm>
          <a:off x="7940828" y="27841574"/>
          <a:ext cx="317479" cy="333511"/>
        </a:xfrm>
        <a:prstGeom prst="rect">
          <a:avLst/>
        </a:prstGeom>
      </xdr:spPr>
    </xdr:pic>
    <xdr:clientData/>
  </xdr:twoCellAnchor>
  <xdr:twoCellAnchor>
    <xdr:from>
      <xdr:col>44</xdr:col>
      <xdr:colOff>56029</xdr:colOff>
      <xdr:row>76</xdr:row>
      <xdr:rowOff>212911</xdr:rowOff>
    </xdr:from>
    <xdr:to>
      <xdr:col>82</xdr:col>
      <xdr:colOff>169769</xdr:colOff>
      <xdr:row>95</xdr:row>
      <xdr:rowOff>40900</xdr:rowOff>
    </xdr:to>
    <xdr:graphicFrame macro="">
      <xdr:nvGraphicFramePr>
        <xdr:cNvPr id="16" name="Chart 15">
          <a:extLst>
            <a:ext uri="{FF2B5EF4-FFF2-40B4-BE49-F238E27FC236}">
              <a16:creationId xmlns:a16="http://schemas.microsoft.com/office/drawing/2014/main" id="{02F208FA-3EF3-4B19-9D9E-0C52E04C2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183931</xdr:colOff>
      <xdr:row>173</xdr:row>
      <xdr:rowOff>134789</xdr:rowOff>
    </xdr:from>
    <xdr:to>
      <xdr:col>39</xdr:col>
      <xdr:colOff>38100</xdr:colOff>
      <xdr:row>175</xdr:row>
      <xdr:rowOff>51058</xdr:rowOff>
    </xdr:to>
    <mc:AlternateContent xmlns:mc="http://schemas.openxmlformats.org/markup-compatibility/2006" xmlns:a14="http://schemas.microsoft.com/office/drawing/2010/main">
      <mc:Choice Requires="a14">
        <xdr:sp macro="" textlink="">
          <xdr:nvSpPr>
            <xdr:cNvPr id="17" name="TextBox 12">
              <a:extLst>
                <a:ext uri="{FF2B5EF4-FFF2-40B4-BE49-F238E27FC236}">
                  <a16:creationId xmlns:a16="http://schemas.microsoft.com/office/drawing/2014/main" id="{9505C22B-3401-4F51-B45D-D5593442ECE5}"/>
                </a:ext>
              </a:extLst>
            </xdr:cNvPr>
            <xdr:cNvSpPr txBox="1"/>
          </xdr:nvSpPr>
          <xdr:spPr>
            <a:xfrm>
              <a:off x="2355631" y="39682589"/>
              <a:ext cx="4740494" cy="37346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𝑋</m:t>
                      </m:r>
                    </m:e>
                    <m:sub>
                      <m:r>
                        <a:rPr lang="en-US" sz="1000" b="0" i="1">
                          <a:latin typeface="Cambria Math"/>
                        </a:rPr>
                        <m:t>𝑒𝑓𝑓</m:t>
                      </m:r>
                    </m:sub>
                  </m:sSub>
                  <m:r>
                    <a:rPr lang="en-US" sz="1000" b="0" i="1">
                      <a:latin typeface="Cambria Math"/>
                      <a:ea typeface="Cambria Math"/>
                    </a:rPr>
                    <m:t>= </m:t>
                  </m:r>
                  <m:f>
                    <m:fPr>
                      <m:ctrlPr>
                        <a:rPr lang="en-US" sz="1000" b="0" i="1">
                          <a:latin typeface="Cambria Math" panose="02040503050406030204" pitchFamily="18" charset="0"/>
                          <a:ea typeface="Cambria Math"/>
                        </a:rPr>
                      </m:ctrlPr>
                    </m:fPr>
                    <m:num>
                      <m:sSup>
                        <m:sSupPr>
                          <m:ctrlPr>
                            <a:rPr lang="en-US" sz="1000" b="0" i="1">
                              <a:solidFill>
                                <a:schemeClr val="tx1"/>
                              </a:solidFill>
                              <a:effectLst/>
                              <a:latin typeface="Cambria Math" panose="02040503050406030204" pitchFamily="18" charset="0"/>
                            </a:rPr>
                          </m:ctrlPr>
                        </m:sSupPr>
                        <m:e>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𝑘𝑉</m:t>
                              </m:r>
                            </m:e>
                            <m:sub>
                              <m:r>
                                <a:rPr lang="en-US" sz="1000" b="0" i="1">
                                  <a:solidFill>
                                    <a:schemeClr val="tx1"/>
                                  </a:solidFill>
                                  <a:effectLst/>
                                  <a:latin typeface="Cambria Math"/>
                                </a:rPr>
                                <m:t>𝐿𝐿𝑆𝑌𝑆</m:t>
                              </m:r>
                            </m:sub>
                          </m:sSub>
                        </m:e>
                        <m:sup>
                          <m:r>
                            <a:rPr lang="en-US" sz="1000" b="0" i="1">
                              <a:solidFill>
                                <a:schemeClr val="tx1"/>
                              </a:solidFill>
                              <a:effectLst/>
                              <a:latin typeface="Cambria Math"/>
                            </a:rPr>
                            <m:t>2</m:t>
                          </m:r>
                        </m:sup>
                      </m:sSup>
                    </m:num>
                    <m:den>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𝑄</m:t>
                          </m:r>
                        </m:e>
                        <m:sub>
                          <m:r>
                            <a:rPr lang="en-US" sz="1000" b="0" i="1">
                              <a:solidFill>
                                <a:schemeClr val="tx1"/>
                              </a:solidFill>
                              <a:effectLst/>
                              <a:latin typeface="Cambria Math"/>
                            </a:rPr>
                            <m:t>𝑒𝑓𝑓</m:t>
                          </m:r>
                        </m:sub>
                      </m:sSub>
                    </m:den>
                  </m:f>
                </m:oMath>
              </a14:m>
              <a:r>
                <a:rPr lang="en-US" sz="1000" b="0"/>
                <a:t> (ohms) = </a:t>
              </a:r>
              <a14:m>
                <m:oMath xmlns:m="http://schemas.openxmlformats.org/officeDocument/2006/math">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rPr>
                          </m:ctrlPr>
                        </m:sSupPr>
                        <m:e>
                          <m:r>
                            <a:rPr lang="en-US" sz="1000" b="0" i="1">
                              <a:latin typeface="Cambria Math"/>
                            </a:rPr>
                            <m:t>13</m:t>
                          </m:r>
                          <m:r>
                            <a:rPr lang="en-US" sz="1000" b="0" i="1">
                              <a:latin typeface="Cambria Math"/>
                            </a:rPr>
                            <m:t>.</m:t>
                          </m:r>
                          <m:r>
                            <a:rPr lang="en-US" sz="1000" b="0" i="1">
                              <a:latin typeface="Cambria Math"/>
                            </a:rPr>
                            <m:t>8</m:t>
                          </m:r>
                        </m:e>
                        <m:sup>
                          <m:r>
                            <a:rPr lang="en-US" sz="1000" i="1">
                              <a:latin typeface="Cambria Math"/>
                            </a:rPr>
                            <m:t>2</m:t>
                          </m:r>
                        </m:sup>
                      </m:sSup>
                    </m:num>
                    <m:den>
                      <m:r>
                        <a:rPr lang="en-US" sz="1000" b="0" i="1">
                          <a:latin typeface="Cambria Math" panose="02040503050406030204" pitchFamily="18" charset="0"/>
                        </a:rPr>
                        <m:t>1</m:t>
                      </m:r>
                      <m:r>
                        <a:rPr lang="en-US" sz="1000" b="0" i="1">
                          <a:latin typeface="Cambria Math" panose="02040503050406030204" pitchFamily="18" charset="0"/>
                        </a:rPr>
                        <m:t>.</m:t>
                      </m:r>
                      <m:r>
                        <a:rPr lang="en-US" sz="1000" b="0" i="1">
                          <a:latin typeface="Cambria Math" panose="02040503050406030204" pitchFamily="18" charset="0"/>
                        </a:rPr>
                        <m:t>0</m:t>
                      </m:r>
                      <m:r>
                        <a:rPr lang="en-US" sz="1000" i="1">
                          <a:latin typeface="Cambria Math"/>
                        </a:rPr>
                        <m:t> </m:t>
                      </m:r>
                    </m:den>
                  </m:f>
                  <m:r>
                    <a:rPr lang="en-US" sz="1000" b="0" i="1">
                      <a:latin typeface="Cambria Math"/>
                    </a:rPr>
                    <m:t>=</m:t>
                  </m:r>
                  <m:r>
                    <a:rPr lang="en-US" sz="1000" b="0" i="1">
                      <a:latin typeface="Cambria Math" panose="02040503050406030204" pitchFamily="18" charset="0"/>
                    </a:rPr>
                    <m:t>190</m:t>
                  </m:r>
                  <m:r>
                    <a:rPr lang="en-US" sz="1000" b="0" i="1">
                      <a:latin typeface="Cambria Math" panose="02040503050406030204" pitchFamily="18" charset="0"/>
                    </a:rPr>
                    <m:t>.</m:t>
                  </m:r>
                  <m:r>
                    <a:rPr lang="en-US" sz="1000" b="0" i="1">
                      <a:latin typeface="Cambria Math" panose="02040503050406030204" pitchFamily="18" charset="0"/>
                    </a:rPr>
                    <m:t>4</m:t>
                  </m:r>
                  <m:r>
                    <a:rPr lang="en-US" sz="1000" b="0" i="1">
                      <a:latin typeface="Cambria Math"/>
                    </a:rPr>
                    <m:t> (</m:t>
                  </m:r>
                  <m:r>
                    <a:rPr lang="en-US" sz="1000" b="0" i="1">
                      <a:latin typeface="Cambria Math"/>
                    </a:rPr>
                    <m:t>𝑜</m:t>
                  </m:r>
                  <m:r>
                    <a:rPr lang="en-US" sz="1000" b="0" i="1">
                      <a:latin typeface="Cambria Math"/>
                    </a:rPr>
                    <m:t>h</m:t>
                  </m:r>
                  <m:r>
                    <a:rPr lang="en-US" sz="1000" b="0" i="1">
                      <a:latin typeface="Cambria Math"/>
                    </a:rPr>
                    <m:t>𝑚𝑠</m:t>
                  </m:r>
                  <m:r>
                    <a:rPr lang="en-US" sz="1000" b="0" i="1">
                      <a:latin typeface="Cambria Math"/>
                    </a:rPr>
                    <m:t>)</m:t>
                  </m:r>
                </m:oMath>
              </a14:m>
              <a:r>
                <a:rPr lang="en-US" sz="1000" b="0"/>
                <a:t> </a:t>
              </a:r>
            </a:p>
          </xdr:txBody>
        </xdr:sp>
      </mc:Choice>
      <mc:Fallback xmlns="">
        <xdr:sp macro="" textlink="">
          <xdr:nvSpPr>
            <xdr:cNvPr id="17" name="TextBox 12">
              <a:extLst>
                <a:ext uri="{FF2B5EF4-FFF2-40B4-BE49-F238E27FC236}">
                  <a16:creationId xmlns:a16="http://schemas.microsoft.com/office/drawing/2014/main" id="{9505C22B-3401-4F51-B45D-D5593442ECE5}"/>
                </a:ext>
              </a:extLst>
            </xdr:cNvPr>
            <xdr:cNvSpPr txBox="1"/>
          </xdr:nvSpPr>
          <xdr:spPr>
            <a:xfrm>
              <a:off x="2355631" y="39682589"/>
              <a:ext cx="4740494" cy="37346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a:t>
              </a:r>
              <a:r>
                <a:rPr lang="en-US" sz="1000" b="0" i="0">
                  <a:latin typeface="Cambria Math"/>
                </a:rPr>
                <a:t>𝑒𝑓𝑓</a:t>
              </a:r>
              <a:r>
                <a:rPr lang="en-US" sz="1000" b="0" i="0">
                  <a:latin typeface="Cambria Math"/>
                  <a:ea typeface="Cambria Math"/>
                </a:rPr>
                <a:t>= </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𝑘𝑉</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𝐿𝐿𝑆𝑌𝑆</a:t>
              </a:r>
              <a:r>
                <a:rPr lang="en-US" sz="1000" b="0" i="0">
                  <a:solidFill>
                    <a:schemeClr val="tx1"/>
                  </a:solidFill>
                  <a:effectLst/>
                  <a:latin typeface="Cambria Math" panose="02040503050406030204" pitchFamily="18" charset="0"/>
                </a:rPr>
                <a:t>〗^</a:t>
              </a:r>
              <a:r>
                <a:rPr lang="en-US" sz="1000" b="0" i="0">
                  <a:solidFill>
                    <a:schemeClr val="tx1"/>
                  </a:solidFill>
                  <a:effectLst/>
                  <a:latin typeface="Cambria Math"/>
                </a:rPr>
                <a:t>2</a:t>
              </a:r>
              <a:r>
                <a:rPr lang="en-US" sz="1000" b="0" i="0">
                  <a:solidFill>
                    <a:schemeClr val="tx1"/>
                  </a:solidFill>
                  <a:effectLst/>
                  <a:latin typeface="Cambria Math" panose="02040503050406030204" pitchFamily="18" charset="0"/>
                  <a:ea typeface="Cambria Math"/>
                </a:rPr>
                <a:t>/</a:t>
              </a:r>
              <a:r>
                <a:rPr lang="en-US" sz="1000" b="0" i="0">
                  <a:solidFill>
                    <a:schemeClr val="tx1"/>
                  </a:solidFill>
                  <a:effectLst/>
                  <a:latin typeface="Cambria Math"/>
                </a:rPr>
                <a:t>𝑄</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𝑒𝑓𝑓</a:t>
              </a:r>
              <a:r>
                <a:rPr lang="en-US" sz="1000" b="0" i="0">
                  <a:solidFill>
                    <a:schemeClr val="tx1"/>
                  </a:solidFill>
                  <a:effectLst/>
                  <a:latin typeface="Cambria Math" panose="02040503050406030204" pitchFamily="18" charset="0"/>
                </a:rPr>
                <a:t> </a:t>
              </a:r>
              <a:r>
                <a:rPr lang="en-US" sz="1000" b="0"/>
                <a:t> (ohms) = </a:t>
              </a:r>
              <a:r>
                <a:rPr lang="en-US" sz="1000" i="0">
                  <a:latin typeface="Cambria Math" panose="02040503050406030204" pitchFamily="18" charset="0"/>
                </a:rPr>
                <a:t>〖</a:t>
              </a:r>
              <a:r>
                <a:rPr lang="en-US" sz="1000" b="0" i="0">
                  <a:latin typeface="Cambria Math"/>
                </a:rPr>
                <a:t>13.8</a:t>
              </a:r>
              <a:r>
                <a:rPr lang="en-US" sz="1000" b="0" i="0">
                  <a:latin typeface="Cambria Math" panose="02040503050406030204" pitchFamily="18" charset="0"/>
                </a:rPr>
                <a:t>〗^</a:t>
              </a:r>
              <a:r>
                <a:rPr lang="en-US" sz="1000" i="0">
                  <a:latin typeface="Cambria Math"/>
                </a:rPr>
                <a:t>2</a:t>
              </a:r>
              <a:r>
                <a:rPr lang="en-US" sz="1000" i="0">
                  <a:latin typeface="Cambria Math" panose="02040503050406030204" pitchFamily="18" charset="0"/>
                  <a:ea typeface="Cambria Math"/>
                </a:rPr>
                <a:t>/(</a:t>
              </a:r>
              <a:r>
                <a:rPr lang="en-US" sz="1000" b="0" i="0">
                  <a:latin typeface="Cambria Math" panose="02040503050406030204" pitchFamily="18" charset="0"/>
                </a:rPr>
                <a:t>1.0</a:t>
              </a:r>
              <a:r>
                <a:rPr lang="en-US" sz="1000" i="0">
                  <a:latin typeface="Cambria Math"/>
                </a:rPr>
                <a:t> </a:t>
              </a:r>
              <a:r>
                <a:rPr lang="en-US" sz="1000" i="0">
                  <a:latin typeface="Cambria Math" panose="02040503050406030204" pitchFamily="18" charset="0"/>
                  <a:ea typeface="Cambria Math"/>
                </a:rPr>
                <a:t>)</a:t>
              </a:r>
              <a:r>
                <a:rPr lang="en-US" sz="1000" b="0" i="0">
                  <a:latin typeface="Cambria Math"/>
                </a:rPr>
                <a:t>=</a:t>
              </a:r>
              <a:r>
                <a:rPr lang="en-US" sz="1000" b="0" i="0">
                  <a:latin typeface="Cambria Math" panose="02040503050406030204" pitchFamily="18" charset="0"/>
                </a:rPr>
                <a:t>190.4</a:t>
              </a:r>
              <a:r>
                <a:rPr lang="en-US" sz="1000" b="0" i="0">
                  <a:latin typeface="Cambria Math"/>
                </a:rPr>
                <a:t> (𝑜ℎ𝑚𝑠)</a:t>
              </a:r>
              <a:r>
                <a:rPr lang="en-US" sz="1000" b="0"/>
                <a:t> </a:t>
              </a:r>
            </a:p>
          </xdr:txBody>
        </xdr:sp>
      </mc:Fallback>
    </mc:AlternateContent>
    <xdr:clientData/>
  </xdr:twoCellAnchor>
  <xdr:twoCellAnchor>
    <xdr:from>
      <xdr:col>12</xdr:col>
      <xdr:colOff>183931</xdr:colOff>
      <xdr:row>174</xdr:row>
      <xdr:rowOff>199601</xdr:rowOff>
    </xdr:from>
    <xdr:to>
      <xdr:col>41</xdr:col>
      <xdr:colOff>152400</xdr:colOff>
      <xdr:row>176</xdr:row>
      <xdr:rowOff>77333</xdr:rowOff>
    </xdr:to>
    <mc:AlternateContent xmlns:mc="http://schemas.openxmlformats.org/markup-compatibility/2006" xmlns:a14="http://schemas.microsoft.com/office/drawing/2010/main">
      <mc:Choice Requires="a14">
        <xdr:sp macro="" textlink="">
          <xdr:nvSpPr>
            <xdr:cNvPr id="18" name="TextBox 15">
              <a:extLst>
                <a:ext uri="{FF2B5EF4-FFF2-40B4-BE49-F238E27FC236}">
                  <a16:creationId xmlns:a16="http://schemas.microsoft.com/office/drawing/2014/main" id="{0BB7EF65-E436-41ED-B773-F1F05E851D14}"/>
                </a:ext>
              </a:extLst>
            </xdr:cNvPr>
            <xdr:cNvSpPr txBox="1"/>
          </xdr:nvSpPr>
          <xdr:spPr>
            <a:xfrm>
              <a:off x="2355631" y="39976001"/>
              <a:ext cx="5216744" cy="3349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i="1">
                          <a:latin typeface="Cambria Math" panose="02040503050406030204" pitchFamily="18" charset="0"/>
                        </a:rPr>
                      </m:ctrlPr>
                    </m:sSubPr>
                    <m:e>
                      <m:r>
                        <a:rPr lang="en-US" sz="1000" b="0" i="1">
                          <a:latin typeface="Cambria Math"/>
                        </a:rPr>
                        <m:t>𝑋</m:t>
                      </m:r>
                    </m:e>
                    <m:sub>
                      <m:r>
                        <a:rPr lang="en-US" sz="1000" b="0" i="1">
                          <a:latin typeface="Cambria Math"/>
                        </a:rPr>
                        <m:t>𝐶</m:t>
                      </m:r>
                    </m:sub>
                  </m:sSub>
                  <m:r>
                    <a:rPr lang="en-US" sz="1000" i="1">
                      <a:latin typeface="Cambria Math"/>
                      <a:ea typeface="Cambria Math"/>
                    </a:rPr>
                    <m:t>=</m:t>
                  </m:r>
                  <m:d>
                    <m:dPr>
                      <m:ctrlPr>
                        <a:rPr lang="en-US" sz="1000" i="1">
                          <a:latin typeface="Cambria Math" panose="02040503050406030204" pitchFamily="18" charset="0"/>
                          <a:ea typeface="Cambria Math"/>
                        </a:rPr>
                      </m:ctrlPr>
                    </m:dPr>
                    <m:e>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ea typeface="Cambria Math"/>
                                </a:rPr>
                              </m:ctrlPr>
                            </m:sSupPr>
                            <m:e>
                              <m:r>
                                <a:rPr lang="en-US" sz="1000" b="0" i="1">
                                  <a:latin typeface="Cambria Math"/>
                                  <a:ea typeface="Cambria Math"/>
                                </a:rPr>
                                <m:t>h</m:t>
                              </m:r>
                            </m:e>
                            <m:sup>
                              <m:r>
                                <a:rPr lang="en-US" sz="1000" b="0" i="1">
                                  <a:latin typeface="Cambria Math"/>
                                  <a:ea typeface="Cambria Math"/>
                                </a:rPr>
                                <m:t>2</m:t>
                              </m:r>
                            </m:sup>
                          </m:sSup>
                        </m:num>
                        <m:den>
                          <m:sSup>
                            <m:sSupPr>
                              <m:ctrlPr>
                                <a:rPr lang="en-US" sz="1000" i="1">
                                  <a:latin typeface="Cambria Math" panose="02040503050406030204" pitchFamily="18" charset="0"/>
                                  <a:ea typeface="Cambria Math"/>
                                </a:rPr>
                              </m:ctrlPr>
                            </m:sSupPr>
                            <m:e>
                              <m:r>
                                <a:rPr lang="en-US" sz="1000" b="0" i="1">
                                  <a:latin typeface="Cambria Math"/>
                                  <a:ea typeface="Cambria Math"/>
                                </a:rPr>
                                <m:t>h</m:t>
                              </m:r>
                            </m:e>
                            <m:sup>
                              <m:r>
                                <a:rPr lang="en-US" sz="1000" b="0" i="1">
                                  <a:latin typeface="Cambria Math"/>
                                  <a:ea typeface="Cambria Math"/>
                                </a:rPr>
                                <m:t>2</m:t>
                              </m:r>
                            </m:sup>
                          </m:sSup>
                          <m:r>
                            <a:rPr lang="en-US" sz="1000" b="0" i="1">
                              <a:latin typeface="Cambria Math"/>
                              <a:ea typeface="Cambria Math"/>
                            </a:rPr>
                            <m:t>−</m:t>
                          </m:r>
                          <m:r>
                            <a:rPr lang="en-US" sz="1000" b="0" i="1">
                              <a:latin typeface="Cambria Math"/>
                              <a:ea typeface="Cambria Math"/>
                            </a:rPr>
                            <m:t>1</m:t>
                          </m:r>
                        </m:den>
                      </m:f>
                    </m:e>
                  </m:d>
                  <m:sSub>
                    <m:sSubPr>
                      <m:ctrlPr>
                        <a:rPr lang="en-US" sz="100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𝑒𝑓𝑓</m:t>
                      </m:r>
                    </m:sub>
                  </m:sSub>
                </m:oMath>
              </a14:m>
              <a:r>
                <a:rPr lang="en-US" sz="1000"/>
                <a:t> (ohms) = </a:t>
              </a:r>
              <a14:m>
                <m:oMath xmlns:m="http://schemas.openxmlformats.org/officeDocument/2006/math">
                  <m:d>
                    <m:dPr>
                      <m:ctrlPr>
                        <a:rPr lang="en-US" sz="1000" i="1">
                          <a:latin typeface="Cambria Math" panose="02040503050406030204" pitchFamily="18" charset="0"/>
                          <a:ea typeface="Cambria Math"/>
                        </a:rPr>
                      </m:ctrlPr>
                    </m:dPr>
                    <m:e>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ea typeface="Cambria Math"/>
                                </a:rPr>
                              </m:ctrlPr>
                            </m:sSupPr>
                            <m:e>
                              <m:r>
                                <a:rPr lang="en-US" sz="1000" b="0" i="1">
                                  <a:latin typeface="Cambria Math"/>
                                  <a:ea typeface="Cambria Math"/>
                                </a:rPr>
                                <m:t>4</m:t>
                              </m:r>
                              <m:r>
                                <a:rPr lang="en-US" sz="1000" b="0" i="1">
                                  <a:latin typeface="Cambria Math"/>
                                  <a:ea typeface="Cambria Math"/>
                                </a:rPr>
                                <m:t>.</m:t>
                              </m:r>
                              <m:r>
                                <a:rPr lang="en-US" sz="1000" b="0" i="1">
                                  <a:latin typeface="Cambria Math"/>
                                  <a:ea typeface="Cambria Math"/>
                                </a:rPr>
                                <m:t>7</m:t>
                              </m:r>
                            </m:e>
                            <m:sup>
                              <m:r>
                                <a:rPr lang="en-US" sz="1000" i="1">
                                  <a:latin typeface="Cambria Math"/>
                                  <a:ea typeface="Cambria Math"/>
                                </a:rPr>
                                <m:t>2</m:t>
                              </m:r>
                            </m:sup>
                          </m:sSup>
                        </m:num>
                        <m:den>
                          <m:sSup>
                            <m:sSupPr>
                              <m:ctrlPr>
                                <a:rPr lang="en-US" sz="1000" i="1">
                                  <a:latin typeface="Cambria Math" panose="02040503050406030204" pitchFamily="18" charset="0"/>
                                  <a:ea typeface="Cambria Math"/>
                                </a:rPr>
                              </m:ctrlPr>
                            </m:sSupPr>
                            <m:e>
                              <m:r>
                                <a:rPr lang="en-US" sz="1000" b="0" i="1">
                                  <a:latin typeface="Cambria Math"/>
                                  <a:ea typeface="Cambria Math"/>
                                </a:rPr>
                                <m:t>4</m:t>
                              </m:r>
                              <m:r>
                                <a:rPr lang="en-US" sz="1000" b="0" i="1">
                                  <a:latin typeface="Cambria Math"/>
                                  <a:ea typeface="Cambria Math"/>
                                </a:rPr>
                                <m:t>.</m:t>
                              </m:r>
                              <m:r>
                                <a:rPr lang="en-US" sz="1000" b="0" i="1">
                                  <a:latin typeface="Cambria Math"/>
                                  <a:ea typeface="Cambria Math"/>
                                </a:rPr>
                                <m:t>7</m:t>
                              </m:r>
                            </m:e>
                            <m:sup>
                              <m:r>
                                <a:rPr lang="en-US" sz="1000" i="1">
                                  <a:latin typeface="Cambria Math"/>
                                  <a:ea typeface="Cambria Math"/>
                                </a:rPr>
                                <m:t>2</m:t>
                              </m:r>
                            </m:sup>
                          </m:sSup>
                          <m:r>
                            <a:rPr lang="en-US" sz="1000" i="1">
                              <a:latin typeface="Cambria Math"/>
                              <a:ea typeface="Cambria Math"/>
                            </a:rPr>
                            <m:t>−</m:t>
                          </m:r>
                          <m:r>
                            <a:rPr lang="en-US" sz="1000" i="1">
                              <a:latin typeface="Cambria Math"/>
                              <a:ea typeface="Cambria Math"/>
                            </a:rPr>
                            <m:t>1</m:t>
                          </m:r>
                        </m:den>
                      </m:f>
                    </m:e>
                  </m:d>
                </m:oMath>
              </a14:m>
              <a:r>
                <a:rPr lang="en-US" sz="1000"/>
                <a:t> 190.4 (ohms)=199.4 (ohms)</a:t>
              </a:r>
            </a:p>
          </xdr:txBody>
        </xdr:sp>
      </mc:Choice>
      <mc:Fallback xmlns="">
        <xdr:sp macro="" textlink="">
          <xdr:nvSpPr>
            <xdr:cNvPr id="18" name="TextBox 15">
              <a:extLst>
                <a:ext uri="{FF2B5EF4-FFF2-40B4-BE49-F238E27FC236}">
                  <a16:creationId xmlns:a16="http://schemas.microsoft.com/office/drawing/2014/main" id="{0BB7EF65-E436-41ED-B773-F1F05E851D14}"/>
                </a:ext>
              </a:extLst>
            </xdr:cNvPr>
            <xdr:cNvSpPr txBox="1"/>
          </xdr:nvSpPr>
          <xdr:spPr>
            <a:xfrm>
              <a:off x="2355631" y="39976001"/>
              <a:ext cx="5216744" cy="3349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a:t>
              </a:r>
              <a:r>
                <a:rPr lang="en-US" sz="1000" b="0" i="0">
                  <a:latin typeface="Cambria Math"/>
                </a:rPr>
                <a:t>𝐶</a:t>
              </a:r>
              <a:r>
                <a:rPr lang="en-US" sz="1000" i="0">
                  <a:latin typeface="Cambria Math"/>
                  <a:ea typeface="Cambria Math"/>
                </a:rPr>
                <a:t>=</a:t>
              </a:r>
              <a:r>
                <a:rPr lang="en-US" sz="1000" i="0">
                  <a:latin typeface="Cambria Math" panose="02040503050406030204" pitchFamily="18" charset="0"/>
                  <a:ea typeface="Cambria Math"/>
                </a:rPr>
                <a:t>(</a:t>
              </a:r>
              <a:r>
                <a:rPr lang="en-US" sz="1000" b="0" i="0">
                  <a:latin typeface="Cambria Math"/>
                  <a:ea typeface="Cambria Math"/>
                </a:rPr>
                <a:t>ℎ</a:t>
              </a:r>
              <a:r>
                <a:rPr lang="en-US" sz="1000" b="0" i="0">
                  <a:latin typeface="Cambria Math" panose="02040503050406030204" pitchFamily="18" charset="0"/>
                  <a:ea typeface="Cambria Math"/>
                </a:rPr>
                <a:t>^</a:t>
              </a:r>
              <a:r>
                <a:rPr lang="en-US" sz="1000" b="0" i="0">
                  <a:latin typeface="Cambria Math"/>
                  <a:ea typeface="Cambria Math"/>
                </a:rPr>
                <a:t>2</a:t>
              </a:r>
              <a:r>
                <a:rPr lang="en-US" sz="1000" b="0" i="0">
                  <a:latin typeface="Cambria Math" panose="02040503050406030204" pitchFamily="18" charset="0"/>
                  <a:ea typeface="Cambria Math"/>
                </a:rPr>
                <a:t>/(</a:t>
              </a:r>
              <a:r>
                <a:rPr lang="en-US" sz="1000" b="0" i="0">
                  <a:latin typeface="Cambria Math"/>
                  <a:ea typeface="Cambria Math"/>
                </a:rPr>
                <a:t>ℎ</a:t>
              </a:r>
              <a:r>
                <a:rPr lang="en-US" sz="1000" b="0" i="0">
                  <a:latin typeface="Cambria Math" panose="02040503050406030204" pitchFamily="18" charset="0"/>
                  <a:ea typeface="Cambria Math"/>
                </a:rPr>
                <a:t>^</a:t>
              </a:r>
              <a:r>
                <a:rPr lang="en-US" sz="1000" b="0" i="0">
                  <a:latin typeface="Cambria Math"/>
                  <a:ea typeface="Cambria Math"/>
                </a:rPr>
                <a:t>2−1</a:t>
              </a:r>
              <a:r>
                <a:rPr lang="en-US" sz="1000" b="0" i="0">
                  <a:latin typeface="Cambria Math" panose="02040503050406030204" pitchFamily="18" charset="0"/>
                  <a:ea typeface="Cambria Math"/>
                </a:rPr>
                <a:t>)) </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𝑒𝑓𝑓</a:t>
              </a:r>
              <a:r>
                <a:rPr lang="en-US" sz="1000"/>
                <a:t> (ohms) = </a:t>
              </a:r>
              <a:r>
                <a:rPr lang="en-US" sz="1000" i="0">
                  <a:latin typeface="Cambria Math" panose="02040503050406030204" pitchFamily="18" charset="0"/>
                  <a:ea typeface="Cambria Math"/>
                </a:rPr>
                <a:t>(〖</a:t>
              </a:r>
              <a:r>
                <a:rPr lang="en-US" sz="1000" b="0" i="0">
                  <a:latin typeface="Cambria Math"/>
                  <a:ea typeface="Cambria Math"/>
                </a:rPr>
                <a:t>4.7</a:t>
              </a:r>
              <a:r>
                <a:rPr lang="en-US" sz="1000" b="0" i="0">
                  <a:latin typeface="Cambria Math" panose="02040503050406030204" pitchFamily="18" charset="0"/>
                  <a:ea typeface="Cambria Math"/>
                </a:rPr>
                <a:t>〗^</a:t>
              </a:r>
              <a:r>
                <a:rPr lang="en-US" sz="1000" i="0">
                  <a:latin typeface="Cambria Math"/>
                  <a:ea typeface="Cambria Math"/>
                </a:rPr>
                <a:t>2</a:t>
              </a:r>
              <a:r>
                <a:rPr lang="en-US" sz="1000" i="0">
                  <a:latin typeface="Cambria Math" panose="02040503050406030204" pitchFamily="18" charset="0"/>
                  <a:ea typeface="Cambria Math"/>
                </a:rPr>
                <a:t>/(〖</a:t>
              </a:r>
              <a:r>
                <a:rPr lang="en-US" sz="1000" b="0" i="0">
                  <a:latin typeface="Cambria Math"/>
                  <a:ea typeface="Cambria Math"/>
                </a:rPr>
                <a:t>4.7</a:t>
              </a:r>
              <a:r>
                <a:rPr lang="en-US" sz="1000" b="0" i="0">
                  <a:latin typeface="Cambria Math" panose="02040503050406030204" pitchFamily="18" charset="0"/>
                  <a:ea typeface="Cambria Math"/>
                </a:rPr>
                <a:t>〗^</a:t>
              </a:r>
              <a:r>
                <a:rPr lang="en-US" sz="1000" i="0">
                  <a:latin typeface="Cambria Math"/>
                  <a:ea typeface="Cambria Math"/>
                </a:rPr>
                <a:t>2−1</a:t>
              </a:r>
              <a:r>
                <a:rPr lang="en-US" sz="1000" i="0">
                  <a:latin typeface="Cambria Math" panose="02040503050406030204" pitchFamily="18" charset="0"/>
                  <a:ea typeface="Cambria Math"/>
                </a:rPr>
                <a:t>))</a:t>
              </a:r>
              <a:r>
                <a:rPr lang="en-US" sz="1000"/>
                <a:t> 190.4 (ohms)=199.4 (ohms)</a:t>
              </a:r>
            </a:p>
          </xdr:txBody>
        </xdr:sp>
      </mc:Fallback>
    </mc:AlternateContent>
    <xdr:clientData/>
  </xdr:twoCellAnchor>
  <xdr:twoCellAnchor>
    <xdr:from>
      <xdr:col>12</xdr:col>
      <xdr:colOff>183931</xdr:colOff>
      <xdr:row>176</xdr:row>
      <xdr:rowOff>109703</xdr:rowOff>
    </xdr:from>
    <xdr:to>
      <xdr:col>36</xdr:col>
      <xdr:colOff>133350</xdr:colOff>
      <xdr:row>177</xdr:row>
      <xdr:rowOff>192022</xdr:rowOff>
    </xdr:to>
    <mc:AlternateContent xmlns:mc="http://schemas.openxmlformats.org/markup-compatibility/2006" xmlns:a14="http://schemas.microsoft.com/office/drawing/2010/main">
      <mc:Choice Requires="a14">
        <xdr:sp macro="" textlink="">
          <xdr:nvSpPr>
            <xdr:cNvPr id="19" name="TextBox 17">
              <a:extLst>
                <a:ext uri="{FF2B5EF4-FFF2-40B4-BE49-F238E27FC236}">
                  <a16:creationId xmlns:a16="http://schemas.microsoft.com/office/drawing/2014/main" id="{B4E56097-1017-4E02-9B92-C7A4C09527C0}"/>
                </a:ext>
              </a:extLst>
            </xdr:cNvPr>
            <xdr:cNvSpPr txBox="1"/>
          </xdr:nvSpPr>
          <xdr:spPr>
            <a:xfrm>
              <a:off x="2355631" y="40343303"/>
              <a:ext cx="4292819" cy="31091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i="1">
                          <a:latin typeface="Cambria Math" panose="02040503050406030204" pitchFamily="18" charset="0"/>
                        </a:rPr>
                      </m:ctrlPr>
                    </m:sSubPr>
                    <m:e>
                      <m:r>
                        <a:rPr lang="en-US" sz="1000" b="0" i="1">
                          <a:latin typeface="Cambria Math"/>
                        </a:rPr>
                        <m:t>𝑋</m:t>
                      </m:r>
                    </m:e>
                    <m:sub>
                      <m:r>
                        <a:rPr lang="en-US" sz="1000" b="0" i="1">
                          <a:latin typeface="Cambria Math"/>
                        </a:rPr>
                        <m:t>𝐿</m:t>
                      </m:r>
                    </m:sub>
                  </m:sSub>
                  <m:r>
                    <a:rPr lang="en-US" sz="1000" i="1">
                      <a:latin typeface="Cambria Math"/>
                      <a:ea typeface="Cambria Math"/>
                    </a:rPr>
                    <m:t>=</m:t>
                  </m:r>
                  <m:f>
                    <m:fPr>
                      <m:ctrlPr>
                        <a:rPr lang="en-US" sz="1000" i="1">
                          <a:latin typeface="Cambria Math" panose="02040503050406030204" pitchFamily="18" charset="0"/>
                          <a:ea typeface="Cambria Math"/>
                        </a:rPr>
                      </m:ctrlPr>
                    </m:fPr>
                    <m:num>
                      <m:sSub>
                        <m:sSubPr>
                          <m:ctrlPr>
                            <a:rPr lang="en-US" sz="100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𝐶</m:t>
                          </m:r>
                        </m:sub>
                      </m:sSub>
                    </m:num>
                    <m:den>
                      <m:sSup>
                        <m:sSupPr>
                          <m:ctrlPr>
                            <a:rPr lang="en-US" sz="1000" i="1">
                              <a:latin typeface="Cambria Math" panose="02040503050406030204" pitchFamily="18" charset="0"/>
                              <a:ea typeface="Cambria Math"/>
                            </a:rPr>
                          </m:ctrlPr>
                        </m:sSupPr>
                        <m:e>
                          <m:r>
                            <a:rPr lang="en-US" sz="1000" b="0" i="1">
                              <a:latin typeface="Cambria Math"/>
                              <a:ea typeface="Cambria Math"/>
                            </a:rPr>
                            <m:t>h</m:t>
                          </m:r>
                        </m:e>
                        <m:sup>
                          <m:r>
                            <a:rPr lang="en-US" sz="1000" b="0" i="1">
                              <a:latin typeface="Cambria Math"/>
                              <a:ea typeface="Cambria Math"/>
                            </a:rPr>
                            <m:t>2</m:t>
                          </m:r>
                        </m:sup>
                      </m:sSup>
                    </m:den>
                  </m:f>
                </m:oMath>
              </a14:m>
              <a:r>
                <a:rPr lang="en-US" sz="1000"/>
                <a:t> =</a:t>
              </a:r>
              <a14:m>
                <m:oMath xmlns:m="http://schemas.openxmlformats.org/officeDocument/2006/math">
                  <m:r>
                    <a:rPr lang="en-US" sz="1000" b="0" i="0">
                      <a:latin typeface="Cambria Math"/>
                      <a:ea typeface="Cambria Math"/>
                    </a:rPr>
                    <m:t> </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199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4</m:t>
                      </m:r>
                    </m:num>
                    <m:den>
                      <m:sSup>
                        <m:sSupPr>
                          <m:ctrlPr>
                            <a:rPr lang="en-US" sz="1000" i="1">
                              <a:latin typeface="Cambria Math" panose="02040503050406030204" pitchFamily="18" charset="0"/>
                              <a:ea typeface="Cambria Math"/>
                            </a:rPr>
                          </m:ctrlPr>
                        </m:sSupPr>
                        <m:e>
                          <m:r>
                            <a:rPr lang="en-US" sz="1000" b="0" i="1">
                              <a:latin typeface="Cambria Math"/>
                              <a:ea typeface="Cambria Math"/>
                            </a:rPr>
                            <m:t>4</m:t>
                          </m:r>
                          <m:r>
                            <a:rPr lang="en-US" sz="1000" b="0" i="1">
                              <a:latin typeface="Cambria Math"/>
                              <a:ea typeface="Cambria Math"/>
                            </a:rPr>
                            <m:t>.</m:t>
                          </m:r>
                          <m:r>
                            <a:rPr lang="en-US" sz="1000" b="0" i="1">
                              <a:latin typeface="Cambria Math"/>
                              <a:ea typeface="Cambria Math"/>
                            </a:rPr>
                            <m:t>7</m:t>
                          </m:r>
                        </m:e>
                        <m:sup>
                          <m:r>
                            <a:rPr lang="en-US" sz="1000" i="1">
                              <a:latin typeface="Cambria Math"/>
                              <a:ea typeface="Cambria Math"/>
                            </a:rPr>
                            <m:t>2</m:t>
                          </m:r>
                        </m:sup>
                      </m:sSup>
                    </m:den>
                  </m:f>
                  <m:r>
                    <a:rPr lang="en-US" sz="1000" b="0" i="1">
                      <a:latin typeface="Cambria Math"/>
                      <a:ea typeface="Cambria Math"/>
                    </a:rPr>
                    <m:t>=</m:t>
                  </m:r>
                  <m:r>
                    <a:rPr lang="en-US" sz="1000" b="0" i="1">
                      <a:latin typeface="Cambria Math" panose="02040503050406030204" pitchFamily="18" charset="0"/>
                      <a:ea typeface="Cambria Math"/>
                    </a:rPr>
                    <m:t>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03</m:t>
                  </m:r>
                  <m:r>
                    <a:rPr lang="en-US" sz="1000" b="0" i="1">
                      <a:latin typeface="Cambria Math"/>
                      <a:ea typeface="Cambria Math"/>
                    </a:rPr>
                    <m:t> </m:t>
                  </m:r>
                  <m:r>
                    <a:rPr lang="en-US" sz="1000" b="0" i="1">
                      <a:latin typeface="Cambria Math"/>
                      <a:ea typeface="Cambria Math"/>
                    </a:rPr>
                    <m:t>𝑜</m:t>
                  </m:r>
                  <m:r>
                    <a:rPr lang="en-US" sz="1000" b="0" i="1">
                      <a:latin typeface="Cambria Math"/>
                      <a:ea typeface="Cambria Math"/>
                    </a:rPr>
                    <m:t>h</m:t>
                  </m:r>
                  <m:r>
                    <a:rPr lang="en-US" sz="1000" b="0" i="1">
                      <a:latin typeface="Cambria Math"/>
                      <a:ea typeface="Cambria Math"/>
                    </a:rPr>
                    <m:t>𝑚𝑠</m:t>
                  </m:r>
                </m:oMath>
              </a14:m>
              <a:endParaRPr lang="en-US" sz="1000"/>
            </a:p>
          </xdr:txBody>
        </xdr:sp>
      </mc:Choice>
      <mc:Fallback xmlns="">
        <xdr:sp macro="" textlink="">
          <xdr:nvSpPr>
            <xdr:cNvPr id="19" name="TextBox 17">
              <a:extLst>
                <a:ext uri="{FF2B5EF4-FFF2-40B4-BE49-F238E27FC236}">
                  <a16:creationId xmlns:a16="http://schemas.microsoft.com/office/drawing/2014/main" id="{B4E56097-1017-4E02-9B92-C7A4C09527C0}"/>
                </a:ext>
              </a:extLst>
            </xdr:cNvPr>
            <xdr:cNvSpPr txBox="1"/>
          </xdr:nvSpPr>
          <xdr:spPr>
            <a:xfrm>
              <a:off x="2355631" y="40343303"/>
              <a:ext cx="4292819" cy="31091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a:t>
              </a:r>
              <a:r>
                <a:rPr lang="en-US" sz="1000" b="0" i="0">
                  <a:latin typeface="Cambria Math"/>
                </a:rPr>
                <a:t>𝐿</a:t>
              </a:r>
              <a:r>
                <a:rPr lang="en-US" sz="1000" i="0">
                  <a:latin typeface="Cambria Math"/>
                  <a:ea typeface="Cambria Math"/>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𝐶</a:t>
              </a:r>
              <a:r>
                <a:rPr lang="en-US" sz="1000" b="0" i="0">
                  <a:latin typeface="Cambria Math" panose="02040503050406030204" pitchFamily="18" charset="0"/>
                  <a:ea typeface="Cambria Math"/>
                </a:rPr>
                <a:t>/</a:t>
              </a:r>
              <a:r>
                <a:rPr lang="en-US" sz="1000" b="0" i="0">
                  <a:latin typeface="Cambria Math"/>
                  <a:ea typeface="Cambria Math"/>
                </a:rPr>
                <a:t>ℎ</a:t>
              </a:r>
              <a:r>
                <a:rPr lang="en-US" sz="1000" b="0" i="0">
                  <a:latin typeface="Cambria Math" panose="02040503050406030204" pitchFamily="18" charset="0"/>
                  <a:ea typeface="Cambria Math"/>
                </a:rPr>
                <a:t>^</a:t>
              </a:r>
              <a:r>
                <a:rPr lang="en-US" sz="1000" b="0" i="0">
                  <a:latin typeface="Cambria Math"/>
                  <a:ea typeface="Cambria Math"/>
                </a:rPr>
                <a:t>2</a:t>
              </a:r>
              <a:r>
                <a:rPr lang="en-US" sz="1000" b="0" i="0">
                  <a:latin typeface="Cambria Math" panose="02040503050406030204" pitchFamily="18" charset="0"/>
                  <a:ea typeface="Cambria Math"/>
                </a:rPr>
                <a:t> </a:t>
              </a:r>
              <a:r>
                <a:rPr lang="en-US" sz="1000"/>
                <a:t> =</a:t>
              </a:r>
              <a:r>
                <a:rPr lang="en-US" sz="1000" b="0" i="0">
                  <a:latin typeface="Cambria Math"/>
                  <a:ea typeface="Cambria Math"/>
                </a:rPr>
                <a:t> </a:t>
              </a:r>
              <a:r>
                <a:rPr lang="en-US" sz="1000" b="0" i="0">
                  <a:latin typeface="Cambria Math" panose="02040503050406030204" pitchFamily="18" charset="0"/>
                  <a:ea typeface="Cambria Math"/>
                </a:rPr>
                <a:t> 199.4/〖</a:t>
              </a:r>
              <a:r>
                <a:rPr lang="en-US" sz="1000" b="0" i="0">
                  <a:latin typeface="Cambria Math"/>
                  <a:ea typeface="Cambria Math"/>
                </a:rPr>
                <a:t>4.7</a:t>
              </a:r>
              <a:r>
                <a:rPr lang="en-US" sz="1000" b="0" i="0">
                  <a:latin typeface="Cambria Math" panose="02040503050406030204" pitchFamily="18" charset="0"/>
                  <a:ea typeface="Cambria Math"/>
                </a:rPr>
                <a:t>〗^</a:t>
              </a:r>
              <a:r>
                <a:rPr lang="en-US" sz="1000" i="0">
                  <a:latin typeface="Cambria Math"/>
                  <a:ea typeface="Cambria Math"/>
                </a:rPr>
                <a:t>2</a:t>
              </a:r>
              <a:r>
                <a:rPr lang="en-US" sz="1000" i="0">
                  <a:latin typeface="Cambria Math" panose="02040503050406030204" pitchFamily="18" charset="0"/>
                  <a:ea typeface="Cambria Math"/>
                </a:rPr>
                <a:t> </a:t>
              </a:r>
              <a:r>
                <a:rPr lang="en-US" sz="1000" b="0" i="0">
                  <a:latin typeface="Cambria Math"/>
                  <a:ea typeface="Cambria Math"/>
                </a:rPr>
                <a:t>=</a:t>
              </a:r>
              <a:r>
                <a:rPr lang="en-US" sz="1000" b="0" i="0">
                  <a:latin typeface="Cambria Math" panose="02040503050406030204" pitchFamily="18" charset="0"/>
                  <a:ea typeface="Cambria Math"/>
                </a:rPr>
                <a:t>9.03</a:t>
              </a:r>
              <a:r>
                <a:rPr lang="en-US" sz="1000" b="0" i="0">
                  <a:latin typeface="Cambria Math"/>
                  <a:ea typeface="Cambria Math"/>
                </a:rPr>
                <a:t> 𝑜ℎ𝑚𝑠</a:t>
              </a:r>
              <a:endParaRPr lang="en-US" sz="1000"/>
            </a:p>
          </xdr:txBody>
        </xdr:sp>
      </mc:Fallback>
    </mc:AlternateContent>
    <xdr:clientData/>
  </xdr:twoCellAnchor>
  <xdr:twoCellAnchor>
    <xdr:from>
      <xdr:col>13</xdr:col>
      <xdr:colOff>19782</xdr:colOff>
      <xdr:row>178</xdr:row>
      <xdr:rowOff>228345</xdr:rowOff>
    </xdr:from>
    <xdr:to>
      <xdr:col>44</xdr:col>
      <xdr:colOff>117230</xdr:colOff>
      <xdr:row>180</xdr:row>
      <xdr:rowOff>100840</xdr:rowOff>
    </xdr:to>
    <mc:AlternateContent xmlns:mc="http://schemas.openxmlformats.org/markup-compatibility/2006" xmlns:a14="http://schemas.microsoft.com/office/drawing/2010/main">
      <mc:Choice Requires="a14">
        <xdr:sp macro="" textlink="">
          <xdr:nvSpPr>
            <xdr:cNvPr id="20" name="TextBox 2">
              <a:extLst>
                <a:ext uri="{FF2B5EF4-FFF2-40B4-BE49-F238E27FC236}">
                  <a16:creationId xmlns:a16="http://schemas.microsoft.com/office/drawing/2014/main" id="{8858EF73-5C7D-4FCA-A25B-6F9EE23FFB3A}"/>
                </a:ext>
              </a:extLst>
            </xdr:cNvPr>
            <xdr:cNvSpPr txBox="1"/>
          </xdr:nvSpPr>
          <xdr:spPr>
            <a:xfrm>
              <a:off x="2372457" y="40919145"/>
              <a:ext cx="5707673" cy="32969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r>
                    <a:rPr lang="en-US" sz="1000" b="0" i="1">
                      <a:latin typeface="Cambria Math"/>
                    </a:rPr>
                    <m:t>𝐻</m:t>
                  </m:r>
                  <m:d>
                    <m:dPr>
                      <m:ctrlPr>
                        <a:rPr lang="en-US" sz="1000" b="0" i="1">
                          <a:latin typeface="Cambria Math" panose="02040503050406030204" pitchFamily="18" charset="0"/>
                        </a:rPr>
                      </m:ctrlPr>
                    </m:dPr>
                    <m:e>
                      <m:r>
                        <a:rPr lang="en-US" sz="1000" b="0" i="1">
                          <a:latin typeface="Cambria Math"/>
                        </a:rPr>
                        <m:t>𝑖𝑛𝑑𝑢𝑐𝑡𝑎𝑛𝑐𝑒</m:t>
                      </m:r>
                    </m:e>
                  </m:d>
                  <m:r>
                    <a:rPr lang="en-US" sz="1000" b="0" i="1">
                      <a:latin typeface="Cambria Math"/>
                      <a:ea typeface="Cambria Math"/>
                    </a:rPr>
                    <m:t>=</m:t>
                  </m:r>
                  <m:f>
                    <m:fPr>
                      <m:ctrlPr>
                        <a:rPr lang="en-US" sz="1000" b="0" i="1">
                          <a:latin typeface="Cambria Math" panose="02040503050406030204" pitchFamily="18" charset="0"/>
                          <a:ea typeface="Cambria Math"/>
                        </a:rPr>
                      </m:ctrlPr>
                    </m:fPr>
                    <m:num>
                      <m:sSub>
                        <m:sSubPr>
                          <m:ctrlPr>
                            <a:rPr lang="en-US" sz="1000" b="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𝐿</m:t>
                          </m:r>
                        </m:sub>
                      </m:sSub>
                    </m:num>
                    <m:den>
                      <m:r>
                        <a:rPr lang="en-US" sz="1000" b="0" i="1">
                          <a:latin typeface="Cambria Math"/>
                          <a:ea typeface="Cambria Math"/>
                        </a:rPr>
                        <m:t>2</m:t>
                      </m:r>
                      <m:r>
                        <a:rPr lang="en-US" sz="1000" b="0" i="1">
                          <a:latin typeface="Cambria Math"/>
                          <a:ea typeface="Cambria Math"/>
                        </a:rPr>
                        <m:t>𝜋</m:t>
                      </m:r>
                      <m:r>
                        <a:rPr lang="en-US" sz="1000" b="0" i="1">
                          <a:latin typeface="Cambria Math"/>
                          <a:ea typeface="Cambria Math"/>
                        </a:rPr>
                        <m:t>𝑓</m:t>
                      </m:r>
                    </m:den>
                  </m:f>
                  <m:r>
                    <a:rPr lang="en-US" sz="1000" b="0" i="1">
                      <a:latin typeface="Cambria Math"/>
                      <a:ea typeface="Cambria Math"/>
                    </a:rPr>
                    <m:t>×</m:t>
                  </m:r>
                  <m:r>
                    <a:rPr lang="en-US" sz="1000" b="0" i="1">
                      <a:latin typeface="Cambria Math"/>
                      <a:ea typeface="Cambria Math"/>
                    </a:rPr>
                    <m:t>1000</m:t>
                  </m:r>
                  <m:d>
                    <m:dPr>
                      <m:ctrlPr>
                        <a:rPr lang="en-US" sz="1000" b="0" i="1">
                          <a:latin typeface="Cambria Math" panose="02040503050406030204" pitchFamily="18" charset="0"/>
                          <a:ea typeface="Cambria Math"/>
                        </a:rPr>
                      </m:ctrlPr>
                    </m:dPr>
                    <m:e>
                      <m:r>
                        <a:rPr lang="en-US" sz="1000" b="0" i="1">
                          <a:latin typeface="Cambria Math"/>
                          <a:ea typeface="Cambria Math"/>
                        </a:rPr>
                        <m:t>𝑚𝐻</m:t>
                      </m:r>
                    </m:e>
                  </m:d>
                  <m:r>
                    <a:rPr lang="en-US" sz="1000" b="0" i="1">
                      <a:latin typeface="Cambria Math"/>
                      <a:ea typeface="Cambria Math"/>
                    </a:rPr>
                    <m:t>=</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03</m:t>
                      </m:r>
                    </m:num>
                    <m:den>
                      <m:r>
                        <a:rPr lang="en-US" sz="1000" i="1">
                          <a:latin typeface="Cambria Math"/>
                          <a:ea typeface="Cambria Math"/>
                        </a:rPr>
                        <m:t>2</m:t>
                      </m:r>
                      <m:r>
                        <a:rPr lang="en-US" sz="1000" i="1">
                          <a:latin typeface="Cambria Math"/>
                          <a:ea typeface="Cambria Math"/>
                        </a:rPr>
                        <m:t>𝜋</m:t>
                      </m:r>
                      <m:r>
                        <a:rPr lang="en-US" sz="1000" b="0" i="1">
                          <a:latin typeface="Cambria Math"/>
                          <a:ea typeface="Cambria Math"/>
                        </a:rPr>
                        <m:t> </m:t>
                      </m:r>
                      <m:r>
                        <a:rPr lang="en-US" sz="1000" b="0" i="1">
                          <a:latin typeface="Cambria Math"/>
                          <a:ea typeface="Cambria Math"/>
                        </a:rPr>
                        <m:t>60</m:t>
                      </m:r>
                    </m:den>
                  </m:f>
                  <m:r>
                    <a:rPr lang="en-US" sz="1000" i="1">
                      <a:latin typeface="Cambria Math"/>
                      <a:ea typeface="Cambria Math"/>
                    </a:rPr>
                    <m:t>×</m:t>
                  </m:r>
                  <m:r>
                    <a:rPr lang="en-US" sz="1000" i="1">
                      <a:latin typeface="Cambria Math"/>
                      <a:ea typeface="Cambria Math"/>
                    </a:rPr>
                    <m:t>1000</m:t>
                  </m:r>
                  <m:d>
                    <m:dPr>
                      <m:ctrlPr>
                        <a:rPr lang="en-US" sz="1000" i="1">
                          <a:latin typeface="Cambria Math" panose="02040503050406030204" pitchFamily="18" charset="0"/>
                          <a:ea typeface="Cambria Math"/>
                        </a:rPr>
                      </m:ctrlPr>
                    </m:dPr>
                    <m:e>
                      <m:r>
                        <a:rPr lang="en-US" sz="1000" i="1">
                          <a:latin typeface="Cambria Math"/>
                          <a:ea typeface="Cambria Math"/>
                        </a:rPr>
                        <m:t>𝑚𝐻</m:t>
                      </m:r>
                    </m:e>
                  </m:d>
                </m:oMath>
              </a14:m>
              <a:r>
                <a:rPr lang="en-US" sz="1000"/>
                <a:t>= 23.95 mH</a:t>
              </a:r>
            </a:p>
          </xdr:txBody>
        </xdr:sp>
      </mc:Choice>
      <mc:Fallback xmlns="">
        <xdr:sp macro="" textlink="">
          <xdr:nvSpPr>
            <xdr:cNvPr id="20" name="TextBox 2">
              <a:extLst>
                <a:ext uri="{FF2B5EF4-FFF2-40B4-BE49-F238E27FC236}">
                  <a16:creationId xmlns:a16="http://schemas.microsoft.com/office/drawing/2014/main" id="{8858EF73-5C7D-4FCA-A25B-6F9EE23FFB3A}"/>
                </a:ext>
              </a:extLst>
            </xdr:cNvPr>
            <xdr:cNvSpPr txBox="1"/>
          </xdr:nvSpPr>
          <xdr:spPr>
            <a:xfrm>
              <a:off x="2372457" y="40919145"/>
              <a:ext cx="5707673" cy="32969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𝐻</a:t>
              </a:r>
              <a:r>
                <a:rPr lang="en-US" sz="1000" b="0" i="0">
                  <a:latin typeface="Cambria Math" panose="02040503050406030204" pitchFamily="18" charset="0"/>
                </a:rPr>
                <a:t>(</a:t>
              </a:r>
              <a:r>
                <a:rPr lang="en-US" sz="1000" b="0" i="0">
                  <a:latin typeface="Cambria Math"/>
                </a:rPr>
                <a:t>𝑖𝑛𝑑𝑢𝑐𝑡𝑎𝑛𝑐𝑒</a:t>
              </a:r>
              <a:r>
                <a:rPr lang="en-US" sz="1000" b="0" i="0">
                  <a:latin typeface="Cambria Math" panose="02040503050406030204" pitchFamily="18" charset="0"/>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𝐿</a:t>
              </a:r>
              <a:r>
                <a:rPr lang="en-US" sz="1000" b="0" i="0">
                  <a:latin typeface="Cambria Math" panose="02040503050406030204" pitchFamily="18" charset="0"/>
                  <a:ea typeface="Cambria Math"/>
                </a:rPr>
                <a:t>/</a:t>
              </a:r>
              <a:r>
                <a:rPr lang="en-US" sz="1000" b="0" i="0">
                  <a:latin typeface="Cambria Math"/>
                  <a:ea typeface="Cambria Math"/>
                </a:rPr>
                <a:t>2𝜋𝑓×1000</a:t>
              </a:r>
              <a:r>
                <a:rPr lang="en-US" sz="1000" b="0" i="0">
                  <a:latin typeface="Cambria Math" panose="02040503050406030204" pitchFamily="18" charset="0"/>
                  <a:ea typeface="Cambria Math"/>
                </a:rPr>
                <a:t>(</a:t>
              </a:r>
              <a:r>
                <a:rPr lang="en-US" sz="1000" b="0" i="0">
                  <a:latin typeface="Cambria Math"/>
                  <a:ea typeface="Cambria Math"/>
                </a:rPr>
                <a:t>𝑚𝐻</a:t>
              </a:r>
              <a:r>
                <a:rPr lang="en-US" sz="1000" b="0" i="0">
                  <a:latin typeface="Cambria Math" panose="02040503050406030204" pitchFamily="18" charset="0"/>
                  <a:ea typeface="Cambria Math"/>
                </a:rPr>
                <a:t>)</a:t>
              </a:r>
              <a:r>
                <a:rPr lang="en-US" sz="1000" b="0" i="0">
                  <a:latin typeface="Cambria Math"/>
                  <a:ea typeface="Cambria Math"/>
                </a:rPr>
                <a:t>=</a:t>
              </a:r>
              <a:r>
                <a:rPr lang="en-US" sz="1000" b="0" i="0">
                  <a:latin typeface="Cambria Math" panose="02040503050406030204" pitchFamily="18" charset="0"/>
                  <a:ea typeface="Cambria Math"/>
                </a:rPr>
                <a:t>9.03/(</a:t>
              </a:r>
              <a:r>
                <a:rPr lang="en-US" sz="1000" i="0">
                  <a:latin typeface="Cambria Math"/>
                  <a:ea typeface="Cambria Math"/>
                </a:rPr>
                <a:t>2𝜋</a:t>
              </a:r>
              <a:r>
                <a:rPr lang="en-US" sz="1000" b="0" i="0">
                  <a:latin typeface="Cambria Math"/>
                  <a:ea typeface="Cambria Math"/>
                </a:rPr>
                <a:t> 60</a:t>
              </a:r>
              <a:r>
                <a:rPr lang="en-US" sz="1000" b="0" i="0">
                  <a:latin typeface="Cambria Math" panose="02040503050406030204" pitchFamily="18" charset="0"/>
                  <a:ea typeface="Cambria Math"/>
                </a:rPr>
                <a:t>)</a:t>
              </a:r>
              <a:r>
                <a:rPr lang="en-US" sz="1000" i="0">
                  <a:latin typeface="Cambria Math"/>
                  <a:ea typeface="Cambria Math"/>
                </a:rPr>
                <a:t>×1000</a:t>
              </a:r>
              <a:r>
                <a:rPr lang="en-US" sz="1000" i="0">
                  <a:latin typeface="Cambria Math" panose="02040503050406030204" pitchFamily="18" charset="0"/>
                  <a:ea typeface="Cambria Math"/>
                </a:rPr>
                <a:t>(</a:t>
              </a:r>
              <a:r>
                <a:rPr lang="en-US" sz="1000" i="0">
                  <a:latin typeface="Cambria Math"/>
                  <a:ea typeface="Cambria Math"/>
                </a:rPr>
                <a:t>𝑚𝐻</a:t>
              </a:r>
              <a:r>
                <a:rPr lang="en-US" sz="1000" i="0">
                  <a:latin typeface="Cambria Math" panose="02040503050406030204" pitchFamily="18" charset="0"/>
                  <a:ea typeface="Cambria Math"/>
                </a:rPr>
                <a:t>)</a:t>
              </a:r>
              <a:r>
                <a:rPr lang="en-US" sz="1000"/>
                <a:t>= 23.95 mH</a:t>
              </a:r>
            </a:p>
          </xdr:txBody>
        </xdr:sp>
      </mc:Fallback>
    </mc:AlternateContent>
    <xdr:clientData/>
  </xdr:twoCellAnchor>
  <xdr:twoCellAnchor>
    <xdr:from>
      <xdr:col>13</xdr:col>
      <xdr:colOff>15412</xdr:colOff>
      <xdr:row>184</xdr:row>
      <xdr:rowOff>48803</xdr:rowOff>
    </xdr:from>
    <xdr:to>
      <xdr:col>37</xdr:col>
      <xdr:colOff>139237</xdr:colOff>
      <xdr:row>186</xdr:row>
      <xdr:rowOff>52552</xdr:rowOff>
    </xdr:to>
    <mc:AlternateContent xmlns:mc="http://schemas.openxmlformats.org/markup-compatibility/2006" xmlns:a14="http://schemas.microsoft.com/office/drawing/2010/main">
      <mc:Choice Requires="a14">
        <xdr:sp macro="" textlink="">
          <xdr:nvSpPr>
            <xdr:cNvPr id="21" name="TextBox 13">
              <a:extLst>
                <a:ext uri="{FF2B5EF4-FFF2-40B4-BE49-F238E27FC236}">
                  <a16:creationId xmlns:a16="http://schemas.microsoft.com/office/drawing/2014/main" id="{564A458A-7FA4-45F0-9448-9E4880632894}"/>
                </a:ext>
              </a:extLst>
            </xdr:cNvPr>
            <xdr:cNvSpPr txBox="1"/>
          </xdr:nvSpPr>
          <xdr:spPr>
            <a:xfrm>
              <a:off x="2368087" y="42111203"/>
              <a:ext cx="4467225" cy="46094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800" b="0" i="1">
                            <a:latin typeface="Cambria Math" panose="02040503050406030204" pitchFamily="18" charset="0"/>
                          </a:rPr>
                        </m:ctrlPr>
                      </m:sSubPr>
                      <m:e>
                        <m:r>
                          <a:rPr lang="en-US" sz="800" b="0" i="1">
                            <a:latin typeface="Cambria Math"/>
                          </a:rPr>
                          <m:t>𝐼</m:t>
                        </m:r>
                      </m:e>
                      <m:sub>
                        <m:r>
                          <a:rPr lang="en-US" sz="800" b="0" i="1">
                            <a:latin typeface="Cambria Math"/>
                          </a:rPr>
                          <m:t>𝐹𝐼𝐿𝑇𝐸𝑅</m:t>
                        </m:r>
                        <m:r>
                          <a:rPr lang="en-US" sz="800" b="0" i="1">
                            <a:latin typeface="Cambria Math"/>
                          </a:rPr>
                          <m:t> </m:t>
                        </m:r>
                        <m:r>
                          <a:rPr lang="en-US" sz="800" b="0" i="1">
                            <a:latin typeface="Cambria Math"/>
                          </a:rPr>
                          <m:t>𝑅𝑀𝑆</m:t>
                        </m:r>
                        <m:r>
                          <a:rPr lang="en-US" sz="800" b="0" i="1">
                            <a:latin typeface="Cambria Math"/>
                          </a:rPr>
                          <m:t> </m:t>
                        </m:r>
                        <m:r>
                          <a:rPr lang="en-US" sz="800" b="0" i="1">
                            <a:latin typeface="Cambria Math"/>
                          </a:rPr>
                          <m:t>𝐶𝑈𝑅𝑅𝐸𝑁𝑇</m:t>
                        </m:r>
                      </m:sub>
                    </m:sSub>
                    <m:r>
                      <a:rPr lang="en-US" sz="800" b="0" i="1">
                        <a:latin typeface="Cambria Math"/>
                        <a:ea typeface="Cambria Math"/>
                      </a:rPr>
                      <m:t>=</m:t>
                    </m:r>
                    <m:rad>
                      <m:radPr>
                        <m:degHide m:val="on"/>
                        <m:ctrlPr>
                          <a:rPr lang="en-US" sz="800" b="0" i="1">
                            <a:latin typeface="Cambria Math" panose="02040503050406030204" pitchFamily="18" charset="0"/>
                            <a:ea typeface="Cambria Math"/>
                          </a:rPr>
                        </m:ctrlPr>
                      </m:radPr>
                      <m:deg/>
                      <m:e>
                        <m:nary>
                          <m:naryPr>
                            <m:chr m:val="∑"/>
                            <m:ctrlPr>
                              <a:rPr lang="en-US" sz="800" b="0" i="1">
                                <a:latin typeface="Cambria Math" panose="02040503050406030204" pitchFamily="18" charset="0"/>
                                <a:ea typeface="Cambria Math"/>
                              </a:rPr>
                            </m:ctrlPr>
                          </m:naryPr>
                          <m:sub>
                            <m:r>
                              <m:rPr>
                                <m:brk m:alnAt="23"/>
                              </m:rPr>
                              <a:rPr lang="en-US" sz="800" b="0" i="1">
                                <a:latin typeface="Cambria Math"/>
                                <a:ea typeface="Cambria Math"/>
                              </a:rPr>
                              <m:t>𝑛</m:t>
                            </m:r>
                            <m:r>
                              <a:rPr lang="en-US" sz="800" b="0" i="1">
                                <a:latin typeface="Cambria Math"/>
                                <a:ea typeface="Cambria Math"/>
                              </a:rPr>
                              <m:t>=</m:t>
                            </m:r>
                            <m:r>
                              <a:rPr lang="en-US" sz="800" b="0" i="1">
                                <a:latin typeface="Cambria Math"/>
                                <a:ea typeface="Cambria Math"/>
                              </a:rPr>
                              <m:t>1</m:t>
                            </m:r>
                          </m:sub>
                          <m:sup>
                            <m:r>
                              <a:rPr lang="en-US" sz="800" b="0" i="1">
                                <a:latin typeface="Cambria Math"/>
                                <a:ea typeface="Cambria Math"/>
                              </a:rPr>
                              <m:t>𝑛</m:t>
                            </m:r>
                          </m:sup>
                          <m:e>
                            <m:sSubSup>
                              <m:sSubSupPr>
                                <m:ctrlPr>
                                  <a:rPr lang="en-US" sz="1000" b="0" i="1" kern="1200">
                                    <a:solidFill>
                                      <a:schemeClr val="tx1"/>
                                    </a:solidFill>
                                    <a:effectLst/>
                                    <a:latin typeface="Cambria Math" panose="02040503050406030204" pitchFamily="18" charset="0"/>
                                    <a:ea typeface="+mn-ea"/>
                                    <a:cs typeface="+mn-cs"/>
                                  </a:rPr>
                                </m:ctrlPr>
                              </m:sSubSupPr>
                              <m:e>
                                <m:r>
                                  <a:rPr lang="en-US" sz="1000" b="0" i="1" kern="1200">
                                    <a:solidFill>
                                      <a:schemeClr val="tx1"/>
                                    </a:solidFill>
                                    <a:effectLst/>
                                    <a:latin typeface="Cambria Math" panose="02040503050406030204" pitchFamily="18" charset="0"/>
                                    <a:ea typeface="+mn-ea"/>
                                    <a:cs typeface="+mn-cs"/>
                                  </a:rPr>
                                  <m:t>𝐼</m:t>
                                </m:r>
                              </m:e>
                              <m:sub>
                                <m:r>
                                  <a:rPr lang="en-US" sz="1000" b="0" i="1" kern="1200">
                                    <a:solidFill>
                                      <a:schemeClr val="tx1"/>
                                    </a:solidFill>
                                    <a:effectLst/>
                                    <a:latin typeface="Cambria Math" panose="02040503050406030204" pitchFamily="18" charset="0"/>
                                    <a:ea typeface="+mn-ea"/>
                                    <a:cs typeface="+mn-cs"/>
                                  </a:rPr>
                                  <m:t>𝑛</m:t>
                                </m:r>
                              </m:sub>
                              <m:sup>
                                <m:r>
                                  <a:rPr lang="en-US" sz="1000" b="0" i="1" kern="1200">
                                    <a:solidFill>
                                      <a:schemeClr val="tx1"/>
                                    </a:solidFill>
                                    <a:effectLst/>
                                    <a:latin typeface="Cambria Math" panose="02040503050406030204" pitchFamily="18" charset="0"/>
                                    <a:ea typeface="+mn-ea"/>
                                    <a:cs typeface="+mn-cs"/>
                                  </a:rPr>
                                  <m:t>2</m:t>
                                </m:r>
                              </m:sup>
                            </m:sSubSup>
                          </m:e>
                        </m:nary>
                      </m:e>
                    </m:rad>
                  </m:oMath>
                </m:oMathPara>
              </a14:m>
              <a:endParaRPr lang="en-US" sz="800" b="0"/>
            </a:p>
          </xdr:txBody>
        </xdr:sp>
      </mc:Choice>
      <mc:Fallback xmlns="">
        <xdr:sp macro="" textlink="">
          <xdr:nvSpPr>
            <xdr:cNvPr id="21" name="TextBox 13">
              <a:extLst>
                <a:ext uri="{FF2B5EF4-FFF2-40B4-BE49-F238E27FC236}">
                  <a16:creationId xmlns:a16="http://schemas.microsoft.com/office/drawing/2014/main" id="{564A458A-7FA4-45F0-9448-9E4880632894}"/>
                </a:ext>
              </a:extLst>
            </xdr:cNvPr>
            <xdr:cNvSpPr txBox="1"/>
          </xdr:nvSpPr>
          <xdr:spPr>
            <a:xfrm>
              <a:off x="2368087" y="42111203"/>
              <a:ext cx="4467225" cy="46094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800" b="0" i="0">
                  <a:latin typeface="Cambria Math"/>
                </a:rPr>
                <a:t>𝐼</a:t>
              </a:r>
              <a:r>
                <a:rPr lang="en-US" sz="800" b="0" i="0">
                  <a:latin typeface="Cambria Math" panose="02040503050406030204" pitchFamily="18" charset="0"/>
                </a:rPr>
                <a:t>_(</a:t>
              </a:r>
              <a:r>
                <a:rPr lang="en-US" sz="800" b="0" i="0">
                  <a:latin typeface="Cambria Math"/>
                </a:rPr>
                <a:t>𝐹𝐼𝐿𝑇𝐸𝑅 𝑅𝑀𝑆 𝐶𝑈𝑅𝑅𝐸𝑁𝑇</a:t>
              </a:r>
              <a:r>
                <a:rPr lang="en-US" sz="800" b="0" i="0">
                  <a:latin typeface="Cambria Math" panose="02040503050406030204" pitchFamily="18" charset="0"/>
                </a:rPr>
                <a:t>)</a:t>
              </a:r>
              <a:r>
                <a:rPr lang="en-US" sz="800" b="0" i="0">
                  <a:latin typeface="Cambria Math"/>
                  <a:ea typeface="Cambria Math"/>
                </a:rPr>
                <a:t>=</a:t>
              </a:r>
              <a:r>
                <a:rPr lang="en-US" sz="800" b="0" i="0">
                  <a:latin typeface="Cambria Math" panose="02040503050406030204" pitchFamily="18" charset="0"/>
                  <a:ea typeface="Cambria Math"/>
                </a:rPr>
                <a:t>√(∑_(</a:t>
              </a:r>
              <a:r>
                <a:rPr lang="en-US" sz="800" b="0" i="0">
                  <a:latin typeface="Cambria Math"/>
                  <a:ea typeface="Cambria Math"/>
                </a:rPr>
                <a:t>𝑛=1</a:t>
              </a:r>
              <a:r>
                <a:rPr lang="en-US" sz="800" b="0" i="0">
                  <a:latin typeface="Cambria Math" panose="02040503050406030204" pitchFamily="18" charset="0"/>
                  <a:ea typeface="Cambria Math"/>
                </a:rPr>
                <a:t>)^</a:t>
              </a:r>
              <a:r>
                <a:rPr lang="en-US" sz="800" b="0" i="0">
                  <a:latin typeface="Cambria Math"/>
                  <a:ea typeface="Cambria Math"/>
                </a:rPr>
                <a:t>𝑛</a:t>
              </a:r>
              <a:r>
                <a:rPr lang="en-US" sz="1000" b="0" i="0" kern="1200">
                  <a:solidFill>
                    <a:schemeClr val="tx1"/>
                  </a:solidFill>
                  <a:effectLst/>
                  <a:latin typeface="Cambria Math" panose="02040503050406030204" pitchFamily="18" charset="0"/>
                  <a:ea typeface="+mn-ea"/>
                  <a:cs typeface="+mn-cs"/>
                </a:rPr>
                <a:t>▒𝐼_𝑛^2 </a:t>
              </a:r>
              <a:r>
                <a:rPr lang="en-US" sz="800" b="0" i="0" kern="1200">
                  <a:solidFill>
                    <a:schemeClr val="tx1"/>
                  </a:solidFill>
                  <a:effectLst/>
                  <a:latin typeface="Cambria Math" panose="02040503050406030204" pitchFamily="18" charset="0"/>
                  <a:ea typeface="Cambria Math"/>
                  <a:cs typeface="+mn-cs"/>
                </a:rPr>
                <a:t>)</a:t>
              </a:r>
              <a:endParaRPr lang="en-US" sz="800" b="0"/>
            </a:p>
          </xdr:txBody>
        </xdr:sp>
      </mc:Fallback>
    </mc:AlternateContent>
    <xdr:clientData/>
  </xdr:twoCellAnchor>
  <xdr:twoCellAnchor>
    <xdr:from>
      <xdr:col>13</xdr:col>
      <xdr:colOff>21981</xdr:colOff>
      <xdr:row>182</xdr:row>
      <xdr:rowOff>7304</xdr:rowOff>
    </xdr:from>
    <xdr:to>
      <xdr:col>41</xdr:col>
      <xdr:colOff>41031</xdr:colOff>
      <xdr:row>183</xdr:row>
      <xdr:rowOff>58773</xdr:rowOff>
    </xdr:to>
    <mc:AlternateContent xmlns:mc="http://schemas.openxmlformats.org/markup-compatibility/2006" xmlns:a14="http://schemas.microsoft.com/office/drawing/2010/main">
      <mc:Choice Requires="a14">
        <xdr:sp macro="" textlink="">
          <xdr:nvSpPr>
            <xdr:cNvPr id="22" name="TextBox 14">
              <a:extLst>
                <a:ext uri="{FF2B5EF4-FFF2-40B4-BE49-F238E27FC236}">
                  <a16:creationId xmlns:a16="http://schemas.microsoft.com/office/drawing/2014/main" id="{13CDD732-7CCA-40DC-AB4A-9EC73919E4FC}"/>
                </a:ext>
              </a:extLst>
            </xdr:cNvPr>
            <xdr:cNvSpPr txBox="1"/>
          </xdr:nvSpPr>
          <xdr:spPr>
            <a:xfrm>
              <a:off x="2374656" y="41612504"/>
              <a:ext cx="5086350" cy="28006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𝐼</m:t>
                        </m:r>
                      </m:e>
                      <m:sub>
                        <m:r>
                          <a:rPr lang="en-US" sz="1000" b="0" i="1">
                            <a:latin typeface="Cambria Math"/>
                          </a:rPr>
                          <m:t>𝑅𝐴𝑇𝐸𝐷</m:t>
                        </m:r>
                        <m:r>
                          <a:rPr lang="en-US" sz="1000" b="0" i="1">
                            <a:latin typeface="Cambria Math"/>
                          </a:rPr>
                          <m:t> </m:t>
                        </m:r>
                        <m:r>
                          <a:rPr lang="en-US" sz="1000" b="0" i="1">
                            <a:latin typeface="Cambria Math"/>
                          </a:rPr>
                          <m:t>𝐹𝑈𝑁𝐷𝐴𝑀𝐸𝑁𝑇𝐴𝐿</m:t>
                        </m:r>
                      </m:sub>
                    </m:sSub>
                    <m:r>
                      <a:rPr lang="en-US" sz="1000" b="0" i="1">
                        <a:latin typeface="Cambria Math"/>
                        <a:ea typeface="Cambria Math"/>
                      </a:rPr>
                      <m:t>= </m:t>
                    </m:r>
                    <m:f>
                      <m:fPr>
                        <m:ctrlPr>
                          <a:rPr lang="en-US" sz="1000" b="0" i="1">
                            <a:latin typeface="Cambria Math" panose="02040503050406030204" pitchFamily="18" charset="0"/>
                            <a:ea typeface="Cambria Math"/>
                          </a:rPr>
                        </m:ctrlPr>
                      </m:fPr>
                      <m:num>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𝑄</m:t>
                            </m:r>
                          </m:e>
                          <m:sub>
                            <m:r>
                              <a:rPr lang="en-US" sz="1000" b="0" i="1">
                                <a:solidFill>
                                  <a:schemeClr val="tx1"/>
                                </a:solidFill>
                                <a:effectLst/>
                                <a:latin typeface="Cambria Math"/>
                              </a:rPr>
                              <m:t>𝑒𝑓𝑓</m:t>
                            </m:r>
                          </m:sub>
                        </m:sSub>
                      </m:num>
                      <m:den>
                        <m:r>
                          <a:rPr lang="en-US" sz="1000" b="0" i="1">
                            <a:latin typeface="Cambria Math"/>
                            <a:ea typeface="Cambria Math"/>
                          </a:rPr>
                          <m:t>1</m:t>
                        </m:r>
                        <m:r>
                          <a:rPr lang="en-US" sz="1000" b="0" i="1">
                            <a:latin typeface="Cambria Math"/>
                            <a:ea typeface="Cambria Math"/>
                          </a:rPr>
                          <m:t>.</m:t>
                        </m:r>
                        <m:r>
                          <a:rPr lang="en-US" sz="1000" b="0" i="1">
                            <a:latin typeface="Cambria Math"/>
                            <a:ea typeface="Cambria Math"/>
                          </a:rPr>
                          <m:t>73</m:t>
                        </m:r>
                        <m:r>
                          <a:rPr lang="en-US" sz="1000" b="0" i="1">
                            <a:latin typeface="Cambria Math"/>
                            <a:ea typeface="Cambria Math"/>
                          </a:rPr>
                          <m:t>×</m:t>
                        </m:r>
                        <m:sSub>
                          <m:sSubPr>
                            <m:ctrlPr>
                              <a:rPr lang="en-US" sz="1100" b="0" i="1" kern="1200">
                                <a:solidFill>
                                  <a:schemeClr val="tx1"/>
                                </a:solidFill>
                                <a:effectLst/>
                                <a:latin typeface="Cambria Math" panose="02040503050406030204" pitchFamily="18" charset="0"/>
                                <a:ea typeface="+mn-ea"/>
                                <a:cs typeface="+mn-cs"/>
                              </a:rPr>
                            </m:ctrlPr>
                          </m:sSubPr>
                          <m:e>
                            <m:r>
                              <a:rPr lang="en-US" sz="1100" b="0" i="1" kern="1200">
                                <a:solidFill>
                                  <a:schemeClr val="tx1"/>
                                </a:solidFill>
                                <a:effectLst/>
                                <a:latin typeface="Cambria Math" panose="02040503050406030204" pitchFamily="18" charset="0"/>
                                <a:ea typeface="+mn-ea"/>
                                <a:cs typeface="+mn-cs"/>
                              </a:rPr>
                              <m:t>𝑘𝑉</m:t>
                            </m:r>
                          </m:e>
                          <m:sub>
                            <m:r>
                              <a:rPr lang="en-US" sz="1100" b="0" i="1" kern="1200">
                                <a:solidFill>
                                  <a:schemeClr val="tx1"/>
                                </a:solidFill>
                                <a:effectLst/>
                                <a:latin typeface="Cambria Math" panose="02040503050406030204" pitchFamily="18" charset="0"/>
                                <a:ea typeface="+mn-ea"/>
                                <a:cs typeface="+mn-cs"/>
                              </a:rPr>
                              <m:t>𝐿𝐿𝑆𝑌𝑆</m:t>
                            </m:r>
                          </m:sub>
                        </m:sSub>
                      </m:den>
                    </m:f>
                    <m:r>
                      <a:rPr lang="en-US" sz="1000" b="0" i="1">
                        <a:latin typeface="Cambria Math"/>
                        <a:ea typeface="Cambria Math"/>
                      </a:rPr>
                      <m:t>×</m:t>
                    </m:r>
                    <m:r>
                      <a:rPr lang="en-US" sz="1000" b="0" i="1">
                        <a:latin typeface="Cambria Math"/>
                        <a:ea typeface="Cambria Math"/>
                      </a:rPr>
                      <m:t>1000</m:t>
                    </m:r>
                    <m:r>
                      <a:rPr lang="en-US" sz="1000" b="0" i="1">
                        <a:latin typeface="Cambria Math"/>
                        <a:ea typeface="Cambria Math"/>
                      </a:rPr>
                      <m:t>=</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1</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m:t>
                        </m:r>
                      </m:num>
                      <m:den>
                        <m:r>
                          <a:rPr lang="en-US" sz="1000" i="1">
                            <a:latin typeface="Cambria Math"/>
                            <a:ea typeface="Cambria Math"/>
                          </a:rPr>
                          <m:t>1</m:t>
                        </m:r>
                        <m:r>
                          <a:rPr lang="en-US" sz="1000" i="1">
                            <a:latin typeface="Cambria Math"/>
                            <a:ea typeface="Cambria Math"/>
                          </a:rPr>
                          <m:t>.</m:t>
                        </m:r>
                        <m:r>
                          <a:rPr lang="en-US" sz="1000" i="1">
                            <a:latin typeface="Cambria Math"/>
                            <a:ea typeface="Cambria Math"/>
                          </a:rPr>
                          <m:t>73</m:t>
                        </m:r>
                        <m:r>
                          <a:rPr lang="en-US" sz="1000" i="1">
                            <a:latin typeface="Cambria Math"/>
                            <a:ea typeface="Cambria Math"/>
                          </a:rPr>
                          <m:t>×</m:t>
                        </m:r>
                        <m:r>
                          <a:rPr lang="en-US" sz="1000" b="0" i="1">
                            <a:latin typeface="Cambria Math"/>
                            <a:ea typeface="Cambria Math"/>
                          </a:rPr>
                          <m:t>13</m:t>
                        </m:r>
                        <m:r>
                          <a:rPr lang="en-US" sz="1000" b="0" i="1">
                            <a:latin typeface="Cambria Math"/>
                            <a:ea typeface="Cambria Math"/>
                          </a:rPr>
                          <m:t>.</m:t>
                        </m:r>
                        <m:r>
                          <a:rPr lang="en-US" sz="1000" b="0" i="1">
                            <a:latin typeface="Cambria Math"/>
                            <a:ea typeface="Cambria Math"/>
                          </a:rPr>
                          <m:t>8</m:t>
                        </m:r>
                      </m:den>
                    </m:f>
                    <m:r>
                      <a:rPr lang="en-US" sz="1000" i="1">
                        <a:latin typeface="Cambria Math"/>
                        <a:ea typeface="Cambria Math"/>
                      </a:rPr>
                      <m:t>×</m:t>
                    </m:r>
                    <m:r>
                      <a:rPr lang="en-US" sz="1000" i="1">
                        <a:latin typeface="Cambria Math"/>
                        <a:ea typeface="Cambria Math"/>
                      </a:rPr>
                      <m:t>1000</m:t>
                    </m:r>
                    <m:r>
                      <a:rPr lang="en-US" sz="1000" b="0" i="1">
                        <a:latin typeface="Cambria Math"/>
                        <a:ea typeface="Cambria Math"/>
                      </a:rPr>
                      <m:t>=</m:t>
                    </m:r>
                    <m:r>
                      <a:rPr lang="en-US" sz="1000" b="0" i="1">
                        <a:latin typeface="Cambria Math" panose="02040503050406030204" pitchFamily="18" charset="0"/>
                        <a:ea typeface="Cambria Math"/>
                      </a:rPr>
                      <m:t>41</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88</m:t>
                    </m:r>
                    <m:r>
                      <a:rPr lang="en-US" sz="1000" b="0" i="1">
                        <a:latin typeface="Cambria Math"/>
                        <a:ea typeface="Cambria Math"/>
                      </a:rPr>
                      <m:t> </m:t>
                    </m:r>
                    <m:r>
                      <a:rPr lang="en-US" sz="1000" b="0" i="1">
                        <a:latin typeface="Cambria Math"/>
                        <a:ea typeface="Cambria Math"/>
                      </a:rPr>
                      <m:t>𝑎𝑚𝑝𝑠</m:t>
                    </m:r>
                  </m:oMath>
                </m:oMathPara>
              </a14:m>
              <a:endParaRPr lang="en-US" sz="1000" b="0"/>
            </a:p>
          </xdr:txBody>
        </xdr:sp>
      </mc:Choice>
      <mc:Fallback xmlns="">
        <xdr:sp macro="" textlink="">
          <xdr:nvSpPr>
            <xdr:cNvPr id="22" name="TextBox 14">
              <a:extLst>
                <a:ext uri="{FF2B5EF4-FFF2-40B4-BE49-F238E27FC236}">
                  <a16:creationId xmlns:a16="http://schemas.microsoft.com/office/drawing/2014/main" id="{13CDD732-7CCA-40DC-AB4A-9EC73919E4FC}"/>
                </a:ext>
              </a:extLst>
            </xdr:cNvPr>
            <xdr:cNvSpPr txBox="1"/>
          </xdr:nvSpPr>
          <xdr:spPr>
            <a:xfrm>
              <a:off x="2374656" y="41612504"/>
              <a:ext cx="5086350" cy="28006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b="0" i="0">
                  <a:latin typeface="Cambria Math"/>
                </a:rPr>
                <a:t>𝐼</a:t>
              </a:r>
              <a:r>
                <a:rPr lang="en-US" sz="1000" b="0" i="0">
                  <a:latin typeface="Cambria Math" panose="02040503050406030204" pitchFamily="18" charset="0"/>
                </a:rPr>
                <a:t>_(</a:t>
              </a:r>
              <a:r>
                <a:rPr lang="en-US" sz="1000" b="0" i="0">
                  <a:latin typeface="Cambria Math"/>
                </a:rPr>
                <a:t>𝑅𝐴𝑇𝐸𝐷 𝐹𝑈𝑁𝐷𝐴𝑀𝐸𝑁𝑇𝐴𝐿</a:t>
              </a:r>
              <a:r>
                <a:rPr lang="en-US" sz="1000" b="0" i="0">
                  <a:latin typeface="Cambria Math" panose="02040503050406030204" pitchFamily="18" charset="0"/>
                </a:rPr>
                <a:t>)</a:t>
              </a:r>
              <a:r>
                <a:rPr lang="en-US" sz="1000" b="0" i="0">
                  <a:latin typeface="Cambria Math"/>
                  <a:ea typeface="Cambria Math"/>
                </a:rPr>
                <a:t>= </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𝑄</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𝑒𝑓𝑓</a:t>
              </a:r>
              <a:r>
                <a:rPr lang="en-US" sz="1000" b="0" i="0">
                  <a:solidFill>
                    <a:schemeClr val="tx1"/>
                  </a:solidFill>
                  <a:effectLst/>
                  <a:latin typeface="Cambria Math" panose="02040503050406030204" pitchFamily="18" charset="0"/>
                  <a:ea typeface="Cambria Math"/>
                </a:rPr>
                <a:t>/(</a:t>
              </a:r>
              <a:r>
                <a:rPr lang="en-US" sz="1000" b="0" i="0">
                  <a:latin typeface="Cambria Math"/>
                  <a:ea typeface="Cambria Math"/>
                </a:rPr>
                <a:t>1.73×</a:t>
              </a:r>
              <a:r>
                <a:rPr lang="en-US" sz="1100" b="0" i="0" kern="1200">
                  <a:solidFill>
                    <a:schemeClr val="tx1"/>
                  </a:solidFill>
                  <a:effectLst/>
                  <a:latin typeface="Cambria Math" panose="02040503050406030204" pitchFamily="18" charset="0"/>
                  <a:ea typeface="+mn-ea"/>
                  <a:cs typeface="+mn-cs"/>
                </a:rPr>
                <a:t>〖𝑘𝑉〗_𝐿𝐿𝑆𝑌𝑆 </a:t>
              </a:r>
              <a:r>
                <a:rPr lang="en-US" sz="1000" b="0" i="0" kern="1200">
                  <a:solidFill>
                    <a:schemeClr val="tx1"/>
                  </a:solidFill>
                  <a:effectLst/>
                  <a:latin typeface="Cambria Math" panose="02040503050406030204" pitchFamily="18" charset="0"/>
                  <a:ea typeface="Cambria Math"/>
                  <a:cs typeface="+mn-cs"/>
                </a:rPr>
                <a:t>)</a:t>
              </a:r>
              <a:r>
                <a:rPr lang="en-US" sz="1000" b="0" i="0">
                  <a:latin typeface="Cambria Math"/>
                  <a:ea typeface="Cambria Math"/>
                </a:rPr>
                <a:t>×1000=</a:t>
              </a:r>
              <a:r>
                <a:rPr lang="en-US" sz="1000" b="0" i="0">
                  <a:latin typeface="Cambria Math" panose="02040503050406030204" pitchFamily="18" charset="0"/>
                  <a:ea typeface="Cambria Math"/>
                </a:rPr>
                <a:t>1.0/(</a:t>
              </a:r>
              <a:r>
                <a:rPr lang="en-US" sz="1000" i="0">
                  <a:latin typeface="Cambria Math"/>
                  <a:ea typeface="Cambria Math"/>
                </a:rPr>
                <a:t>1.73×</a:t>
              </a:r>
              <a:r>
                <a:rPr lang="en-US" sz="1000" b="0" i="0">
                  <a:latin typeface="Cambria Math"/>
                  <a:ea typeface="Cambria Math"/>
                </a:rPr>
                <a:t>13.8</a:t>
              </a:r>
              <a:r>
                <a:rPr lang="en-US" sz="1000" b="0" i="0">
                  <a:latin typeface="Cambria Math" panose="02040503050406030204" pitchFamily="18" charset="0"/>
                  <a:ea typeface="Cambria Math"/>
                </a:rPr>
                <a:t>)</a:t>
              </a:r>
              <a:r>
                <a:rPr lang="en-US" sz="1000" i="0">
                  <a:latin typeface="Cambria Math"/>
                  <a:ea typeface="Cambria Math"/>
                </a:rPr>
                <a:t>×1000</a:t>
              </a:r>
              <a:r>
                <a:rPr lang="en-US" sz="1000" b="0" i="0">
                  <a:latin typeface="Cambria Math"/>
                  <a:ea typeface="Cambria Math"/>
                </a:rPr>
                <a:t>=</a:t>
              </a:r>
              <a:r>
                <a:rPr lang="en-US" sz="1000" b="0" i="0">
                  <a:latin typeface="Cambria Math" panose="02040503050406030204" pitchFamily="18" charset="0"/>
                  <a:ea typeface="Cambria Math"/>
                </a:rPr>
                <a:t>41.88</a:t>
              </a:r>
              <a:r>
                <a:rPr lang="en-US" sz="1000" b="0" i="0">
                  <a:latin typeface="Cambria Math"/>
                  <a:ea typeface="Cambria Math"/>
                </a:rPr>
                <a:t> 𝑎𝑚𝑝𝑠</a:t>
              </a:r>
              <a:endParaRPr lang="en-US" sz="1000" b="0"/>
            </a:p>
          </xdr:txBody>
        </xdr:sp>
      </mc:Fallback>
    </mc:AlternateContent>
    <xdr:clientData/>
  </xdr:twoCellAnchor>
  <xdr:twoCellAnchor>
    <xdr:from>
      <xdr:col>13</xdr:col>
      <xdr:colOff>19782</xdr:colOff>
      <xdr:row>180</xdr:row>
      <xdr:rowOff>50933</xdr:rowOff>
    </xdr:from>
    <xdr:to>
      <xdr:col>41</xdr:col>
      <xdr:colOff>69605</xdr:colOff>
      <xdr:row>182</xdr:row>
      <xdr:rowOff>21030</xdr:rowOff>
    </xdr:to>
    <mc:AlternateContent xmlns:mc="http://schemas.openxmlformats.org/markup-compatibility/2006" xmlns:a14="http://schemas.microsoft.com/office/drawing/2010/main">
      <mc:Choice Requires="a14">
        <xdr:sp macro="" textlink="">
          <xdr:nvSpPr>
            <xdr:cNvPr id="23" name="TextBox 3">
              <a:extLst>
                <a:ext uri="{FF2B5EF4-FFF2-40B4-BE49-F238E27FC236}">
                  <a16:creationId xmlns:a16="http://schemas.microsoft.com/office/drawing/2014/main" id="{1921F58E-B971-481C-98EB-5C44B5A33686}"/>
                </a:ext>
              </a:extLst>
            </xdr:cNvPr>
            <xdr:cNvSpPr txBox="1"/>
          </xdr:nvSpPr>
          <xdr:spPr>
            <a:xfrm>
              <a:off x="2372457" y="41198933"/>
              <a:ext cx="5117123" cy="42729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b="0" i="1">
                            <a:latin typeface="Cambria Math" panose="02040503050406030204" pitchFamily="18" charset="0"/>
                          </a:rPr>
                        </m:ctrlPr>
                      </m:sSubPr>
                      <m:e>
                        <m:sSub>
                          <m:sSubPr>
                            <m:ctrlPr>
                              <a:rPr lang="en-US" sz="1000" b="0" i="1">
                                <a:latin typeface="Cambria Math" panose="02040503050406030204" pitchFamily="18" charset="0"/>
                              </a:rPr>
                            </m:ctrlPr>
                          </m:sSubPr>
                          <m:e>
                            <m:r>
                              <a:rPr lang="en-US" sz="1000" b="0" i="1">
                                <a:latin typeface="Cambria Math"/>
                              </a:rPr>
                              <m:t>𝑄</m:t>
                            </m:r>
                          </m:e>
                          <m:sub>
                            <m:r>
                              <a:rPr lang="en-US" sz="1000" b="0" i="1">
                                <a:latin typeface="Cambria Math"/>
                              </a:rPr>
                              <m:t>𝑅𝐴𝑇𝐸𝐷</m:t>
                            </m:r>
                            <m:r>
                              <a:rPr lang="en-US" sz="1000" b="0" i="1">
                                <a:latin typeface="Cambria Math"/>
                              </a:rPr>
                              <m:t> </m:t>
                            </m:r>
                            <m:r>
                              <a:rPr lang="en-US" sz="1000" b="0" i="1">
                                <a:latin typeface="Cambria Math"/>
                              </a:rPr>
                              <m:t>𝑃𝐸𝑅</m:t>
                            </m:r>
                            <m:r>
                              <a:rPr lang="en-US" sz="1000" b="0" i="1">
                                <a:latin typeface="Cambria Math"/>
                              </a:rPr>
                              <m:t> </m:t>
                            </m:r>
                            <m:r>
                              <a:rPr lang="en-US" sz="1000" b="0" i="1">
                                <a:latin typeface="Cambria Math"/>
                              </a:rPr>
                              <m:t>𝑃𝐻𝐴𝑆𝐸</m:t>
                            </m:r>
                            <m:r>
                              <a:rPr lang="en-US" sz="1000" b="0" i="1">
                                <a:latin typeface="Cambria Math"/>
                              </a:rPr>
                              <m:t> (</m:t>
                            </m:r>
                            <m:r>
                              <a:rPr lang="en-US" sz="1000" b="0" i="1">
                                <a:latin typeface="Cambria Math" panose="02040503050406030204" pitchFamily="18" charset="0"/>
                              </a:rPr>
                              <m:t>𝑀𝑉𝐴𝑅</m:t>
                            </m:r>
                            <m:r>
                              <a:rPr lang="en-US" sz="1000" b="0" i="1">
                                <a:latin typeface="Cambria Math"/>
                              </a:rPr>
                              <m:t>)</m:t>
                            </m:r>
                          </m:sub>
                        </m:sSub>
                        <m:r>
                          <a:rPr lang="en-US" sz="1000" b="0" i="1">
                            <a:latin typeface="Cambria Math"/>
                          </a:rPr>
                          <m:t> </m:t>
                        </m:r>
                        <m:r>
                          <a:rPr lang="en-US" sz="1000" b="0" i="1">
                            <a:latin typeface="Cambria Math"/>
                            <a:ea typeface="Cambria Math"/>
                          </a:rPr>
                          <m:t>=</m:t>
                        </m:r>
                        <m:f>
                          <m:fPr>
                            <m:ctrlPr>
                              <a:rPr lang="en-US" sz="1000" b="0" i="1">
                                <a:latin typeface="Cambria Math" panose="02040503050406030204" pitchFamily="18" charset="0"/>
                                <a:ea typeface="Cambria Math"/>
                              </a:rPr>
                            </m:ctrlPr>
                          </m:fPr>
                          <m:num>
                            <m:sSup>
                              <m:sSupPr>
                                <m:ctrlPr>
                                  <a:rPr lang="en-US" sz="1000" b="0" i="1">
                                    <a:solidFill>
                                      <a:schemeClr val="tx1"/>
                                    </a:solidFill>
                                    <a:effectLst/>
                                    <a:latin typeface="Cambria Math" panose="02040503050406030204" pitchFamily="18" charset="0"/>
                                  </a:rPr>
                                </m:ctrlPr>
                              </m:sSupPr>
                              <m:e>
                                <m:d>
                                  <m:dPr>
                                    <m:ctrlPr>
                                      <a:rPr lang="en-US" sz="1000" b="0" i="1">
                                        <a:solidFill>
                                          <a:schemeClr val="tx1"/>
                                        </a:solidFill>
                                        <a:effectLst/>
                                        <a:latin typeface="Cambria Math" panose="02040503050406030204" pitchFamily="18" charset="0"/>
                                      </a:rPr>
                                    </m:ctrlPr>
                                  </m:dPr>
                                  <m:e>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𝑉</m:t>
                                        </m:r>
                                      </m:e>
                                      <m:sub>
                                        <m:r>
                                          <a:rPr lang="en-US" sz="1000" b="0" i="1">
                                            <a:solidFill>
                                              <a:schemeClr val="tx1"/>
                                            </a:solidFill>
                                            <a:effectLst/>
                                            <a:latin typeface="Cambria Math"/>
                                          </a:rPr>
                                          <m:t>𝐶𝐴𝑃</m:t>
                                        </m:r>
                                        <m:r>
                                          <a:rPr lang="en-US" sz="1000" b="0" i="1">
                                            <a:solidFill>
                                              <a:schemeClr val="tx1"/>
                                            </a:solidFill>
                                            <a:effectLst/>
                                            <a:latin typeface="Cambria Math"/>
                                          </a:rPr>
                                          <m:t> </m:t>
                                        </m:r>
                                        <m:r>
                                          <a:rPr lang="en-US" sz="1000" b="0" i="1">
                                            <a:solidFill>
                                              <a:schemeClr val="tx1"/>
                                            </a:solidFill>
                                            <a:effectLst/>
                                            <a:latin typeface="Cambria Math"/>
                                          </a:rPr>
                                          <m:t>𝑅𝐴𝑇𝐼𝑁𝐺</m:t>
                                        </m:r>
                                      </m:sub>
                                    </m:sSub>
                                  </m:e>
                                </m:d>
                              </m:e>
                              <m:sup>
                                <m:r>
                                  <a:rPr lang="en-US" sz="1000" b="0" i="1">
                                    <a:solidFill>
                                      <a:schemeClr val="tx1"/>
                                    </a:solidFill>
                                    <a:effectLst/>
                                    <a:latin typeface="Cambria Math"/>
                                  </a:rPr>
                                  <m:t>2</m:t>
                                </m:r>
                              </m:sup>
                            </m:sSup>
                          </m:num>
                          <m:den>
                            <m:sSub>
                              <m:sSubPr>
                                <m:ctrlPr>
                                  <a:rPr lang="en-US" sz="1000" b="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𝐶</m:t>
                                </m:r>
                              </m:sub>
                            </m:sSub>
                          </m:den>
                        </m:f>
                        <m:r>
                          <a:rPr lang="en-US" sz="1000" b="0" i="1">
                            <a:latin typeface="Cambria Math"/>
                            <a:ea typeface="Cambria Math"/>
                          </a:rPr>
                          <m:t>=</m:t>
                        </m:r>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rPr>
                                </m:ctrlPr>
                              </m:sSupPr>
                              <m:e>
                                <m:d>
                                  <m:dPr>
                                    <m:ctrlPr>
                                      <a:rPr lang="en-US" sz="1000" i="1">
                                        <a:latin typeface="Cambria Math" panose="02040503050406030204" pitchFamily="18" charset="0"/>
                                      </a:rPr>
                                    </m:ctrlPr>
                                  </m:dPr>
                                  <m:e>
                                    <m:r>
                                      <a:rPr lang="en-US" sz="1000" b="0" i="1">
                                        <a:latin typeface="Cambria Math"/>
                                      </a:rPr>
                                      <m:t>9</m:t>
                                    </m:r>
                                    <m:r>
                                      <a:rPr lang="en-US" sz="1000" b="0" i="1">
                                        <a:latin typeface="Cambria Math"/>
                                      </a:rPr>
                                      <m:t>.</m:t>
                                    </m:r>
                                    <m:r>
                                      <a:rPr lang="en-US" sz="1000" b="0" i="1">
                                        <a:latin typeface="Cambria Math"/>
                                      </a:rPr>
                                      <m:t>54</m:t>
                                    </m:r>
                                  </m:e>
                                </m:d>
                              </m:e>
                              <m:sup>
                                <m:r>
                                  <a:rPr lang="en-US" sz="1000" i="1">
                                    <a:latin typeface="Cambria Math"/>
                                  </a:rPr>
                                  <m:t>2</m:t>
                                </m:r>
                              </m:sup>
                            </m:sSup>
                          </m:num>
                          <m:den>
                            <m:r>
                              <a:rPr lang="en-US" sz="1000" b="0" i="1">
                                <a:latin typeface="Cambria Math" panose="02040503050406030204" pitchFamily="18" charset="0"/>
                              </a:rPr>
                              <m:t>199</m:t>
                            </m:r>
                            <m:r>
                              <a:rPr lang="en-US" sz="1000" b="0" i="1">
                                <a:latin typeface="Cambria Math" panose="02040503050406030204" pitchFamily="18" charset="0"/>
                              </a:rPr>
                              <m:t>.</m:t>
                            </m:r>
                            <m:r>
                              <a:rPr lang="en-US" sz="1000" b="0" i="1">
                                <a:latin typeface="Cambria Math" panose="02040503050406030204" pitchFamily="18" charset="0"/>
                              </a:rPr>
                              <m:t>47</m:t>
                            </m:r>
                          </m:den>
                        </m:f>
                        <m:r>
                          <a:rPr lang="en-US" sz="1000" b="0" i="1">
                            <a:latin typeface="Cambria Math"/>
                            <a:ea typeface="Cambria Math"/>
                          </a:rPr>
                          <m:t>=</m:t>
                        </m:r>
                        <m:r>
                          <a:rPr lang="en-US" sz="1000" b="0" i="1">
                            <a:latin typeface="Cambria Math" panose="02040503050406030204" pitchFamily="18" charset="0"/>
                            <a:ea typeface="Cambria Math"/>
                          </a:rPr>
                          <m:t>0</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456</m:t>
                        </m:r>
                        <m:r>
                          <a:rPr lang="en-US" sz="1000" b="0" i="1">
                            <a:latin typeface="Cambria Math" panose="02040503050406030204" pitchFamily="18" charset="0"/>
                            <a:ea typeface="Cambria Math"/>
                          </a:rPr>
                          <m:t> </m:t>
                        </m:r>
                        <m:r>
                          <a:rPr lang="en-US" sz="1000" b="0" i="1">
                            <a:latin typeface="Cambria Math" panose="02040503050406030204" pitchFamily="18" charset="0"/>
                            <a:ea typeface="Cambria Math"/>
                          </a:rPr>
                          <m:t>𝑀𝑉𝐴𝑅</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𝑃</m:t>
                        </m:r>
                        <m:r>
                          <a:rPr lang="en-US" sz="1000" b="0" i="1">
                            <a:latin typeface="Cambria Math" panose="02040503050406030204" pitchFamily="18" charset="0"/>
                            <a:ea typeface="Cambria Math"/>
                          </a:rPr>
                          <m:t>h</m:t>
                        </m:r>
                        <m:r>
                          <a:rPr lang="en-US" sz="1000" b="0" i="1">
                            <a:latin typeface="Cambria Math" panose="02040503050406030204" pitchFamily="18" charset="0"/>
                            <a:ea typeface="Cambria Math"/>
                          </a:rPr>
                          <m:t>𝑎𝑠𝑒</m:t>
                        </m:r>
                      </m:e>
                      <m:sub/>
                    </m:sSub>
                  </m:oMath>
                </m:oMathPara>
              </a14:m>
              <a:endParaRPr lang="en-US" sz="1000" b="0"/>
            </a:p>
          </xdr:txBody>
        </xdr:sp>
      </mc:Choice>
      <mc:Fallback xmlns="">
        <xdr:sp macro="" textlink="">
          <xdr:nvSpPr>
            <xdr:cNvPr id="23" name="TextBox 3">
              <a:extLst>
                <a:ext uri="{FF2B5EF4-FFF2-40B4-BE49-F238E27FC236}">
                  <a16:creationId xmlns:a16="http://schemas.microsoft.com/office/drawing/2014/main" id="{1921F58E-B971-481C-98EB-5C44B5A33686}"/>
                </a:ext>
              </a:extLst>
            </xdr:cNvPr>
            <xdr:cNvSpPr txBox="1"/>
          </xdr:nvSpPr>
          <xdr:spPr>
            <a:xfrm>
              <a:off x="2372457" y="41198933"/>
              <a:ext cx="5117123" cy="42729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b="0" i="0">
                  <a:latin typeface="Cambria Math" panose="02040503050406030204" pitchFamily="18" charset="0"/>
                </a:rPr>
                <a:t>〖</a:t>
              </a:r>
              <a:r>
                <a:rPr lang="en-US" sz="1000" b="0" i="0">
                  <a:latin typeface="Cambria Math"/>
                </a:rPr>
                <a:t>𝑄</a:t>
              </a:r>
              <a:r>
                <a:rPr lang="en-US" sz="1000" b="0" i="0">
                  <a:latin typeface="Cambria Math" panose="02040503050406030204" pitchFamily="18" charset="0"/>
                </a:rPr>
                <a:t>_(</a:t>
              </a:r>
              <a:r>
                <a:rPr lang="en-US" sz="1000" b="0" i="0">
                  <a:latin typeface="Cambria Math"/>
                </a:rPr>
                <a:t>𝑅𝐴𝑇𝐸𝐷 𝑃𝐸𝑅 𝑃𝐻𝐴𝑆𝐸 (</a:t>
              </a:r>
              <a:r>
                <a:rPr lang="en-US" sz="1000" b="0" i="0">
                  <a:latin typeface="Cambria Math" panose="02040503050406030204" pitchFamily="18" charset="0"/>
                </a:rPr>
                <a:t>𝑀𝑉𝐴𝑅</a:t>
              </a:r>
              <a:r>
                <a:rPr lang="en-US" sz="1000" b="0" i="0">
                  <a:latin typeface="Cambria Math"/>
                </a:rPr>
                <a:t>)</a:t>
              </a:r>
              <a:r>
                <a:rPr lang="en-US" sz="1000" b="0" i="0">
                  <a:latin typeface="Cambria Math" panose="02040503050406030204" pitchFamily="18" charset="0"/>
                </a:rPr>
                <a:t>)</a:t>
              </a:r>
              <a:r>
                <a:rPr lang="en-US" sz="1000" b="0" i="0">
                  <a:latin typeface="Cambria Math"/>
                </a:rPr>
                <a:t>  </a:t>
              </a:r>
              <a:r>
                <a:rPr lang="en-US" sz="1000" b="0" i="0">
                  <a:latin typeface="Cambria Math"/>
                  <a:ea typeface="Cambria Math"/>
                </a:rPr>
                <a:t>=</a:t>
              </a:r>
              <a:r>
                <a:rPr lang="en-US" sz="1000" b="0" i="0">
                  <a:solidFill>
                    <a:schemeClr val="tx1"/>
                  </a:solidFill>
                  <a:effectLst/>
                  <a:latin typeface="Cambria Math" panose="02040503050406030204" pitchFamily="18" charset="0"/>
                  <a:ea typeface="Cambria Math"/>
                </a:rPr>
                <a:t>(</a:t>
              </a:r>
              <a:r>
                <a:rPr lang="en-US" sz="1000" b="0" i="0">
                  <a:solidFill>
                    <a:schemeClr val="tx1"/>
                  </a:solidFill>
                  <a:effectLst/>
                  <a:latin typeface="Cambria Math"/>
                </a:rPr>
                <a:t>𝑉</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𝐶𝐴𝑃 𝑅𝐴𝑇𝐼𝑁𝐺</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2</a:t>
              </a:r>
              <a:r>
                <a:rPr lang="en-US" sz="1000" b="0" i="0">
                  <a:solidFill>
                    <a:schemeClr val="tx1"/>
                  </a:solidFill>
                  <a:effectLst/>
                  <a:latin typeface="Cambria Math" panose="02040503050406030204" pitchFamily="18" charset="0"/>
                  <a:ea typeface="Cambria Math"/>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𝐶</a:t>
              </a:r>
              <a:r>
                <a:rPr lang="en-US" sz="1000" b="0" i="0">
                  <a:latin typeface="Cambria Math" panose="02040503050406030204" pitchFamily="18" charset="0"/>
                  <a:ea typeface="Cambria Math"/>
                </a:rPr>
                <a:t> </a:t>
              </a:r>
              <a:r>
                <a:rPr lang="en-US" sz="1000" b="0" i="0">
                  <a:latin typeface="Cambria Math"/>
                  <a:ea typeface="Cambria Math"/>
                </a:rPr>
                <a:t>=</a:t>
              </a:r>
              <a:r>
                <a:rPr lang="en-US" sz="1000" b="0" i="0">
                  <a:latin typeface="Cambria Math" panose="02040503050406030204" pitchFamily="18" charset="0"/>
                  <a:ea typeface="Cambria Math"/>
                </a:rPr>
                <a:t>(</a:t>
              </a:r>
              <a:r>
                <a:rPr lang="en-US" sz="1000" b="0" i="0">
                  <a:latin typeface="Cambria Math"/>
                </a:rPr>
                <a:t>9.54</a:t>
              </a:r>
              <a:r>
                <a:rPr lang="en-US" sz="1000" b="0" i="0">
                  <a:latin typeface="Cambria Math" panose="02040503050406030204" pitchFamily="18" charset="0"/>
                </a:rPr>
                <a:t>)^</a:t>
              </a:r>
              <a:r>
                <a:rPr lang="en-US" sz="1000" i="0">
                  <a:latin typeface="Cambria Math"/>
                </a:rPr>
                <a:t>2</a:t>
              </a:r>
              <a:r>
                <a:rPr lang="en-US" sz="1000" i="0">
                  <a:latin typeface="Cambria Math" panose="02040503050406030204" pitchFamily="18" charset="0"/>
                  <a:ea typeface="Cambria Math"/>
                </a:rPr>
                <a:t>/</a:t>
              </a:r>
              <a:r>
                <a:rPr lang="en-US" sz="1000" b="0" i="0">
                  <a:latin typeface="Cambria Math" panose="02040503050406030204" pitchFamily="18" charset="0"/>
                </a:rPr>
                <a:t>199.47</a:t>
              </a:r>
              <a:r>
                <a:rPr lang="en-US" sz="1000" b="0" i="0">
                  <a:latin typeface="Cambria Math"/>
                  <a:ea typeface="Cambria Math"/>
                </a:rPr>
                <a:t>=</a:t>
              </a:r>
              <a:r>
                <a:rPr lang="en-US" sz="1000" b="0" i="0">
                  <a:latin typeface="Cambria Math" panose="02040503050406030204" pitchFamily="18" charset="0"/>
                  <a:ea typeface="Cambria Math"/>
                </a:rPr>
                <a:t>0.456 𝑀𝑉𝐴𝑅/𝑃ℎ𝑎𝑠𝑒〗_</a:t>
              </a:r>
              <a:endParaRPr lang="en-US" sz="1000" b="0"/>
            </a:p>
          </xdr:txBody>
        </xdr:sp>
      </mc:Fallback>
    </mc:AlternateContent>
    <xdr:clientData/>
  </xdr:twoCellAnchor>
  <xdr:twoCellAnchor>
    <xdr:from>
      <xdr:col>13</xdr:col>
      <xdr:colOff>0</xdr:colOff>
      <xdr:row>171</xdr:row>
      <xdr:rowOff>0</xdr:rowOff>
    </xdr:from>
    <xdr:to>
      <xdr:col>41</xdr:col>
      <xdr:colOff>114300</xdr:colOff>
      <xdr:row>172</xdr:row>
      <xdr:rowOff>155864</xdr:rowOff>
    </xdr:to>
    <mc:AlternateContent xmlns:mc="http://schemas.openxmlformats.org/markup-compatibility/2006" xmlns:a14="http://schemas.microsoft.com/office/drawing/2010/main">
      <mc:Choice Requires="a14">
        <xdr:sp macro="" textlink="">
          <xdr:nvSpPr>
            <xdr:cNvPr id="24" name="TextBox 14">
              <a:extLst>
                <a:ext uri="{FF2B5EF4-FFF2-40B4-BE49-F238E27FC236}">
                  <a16:creationId xmlns:a16="http://schemas.microsoft.com/office/drawing/2014/main" id="{A6374EC3-173E-4343-9AFB-ACAD39F63F12}"/>
                </a:ext>
              </a:extLst>
            </xdr:cNvPr>
            <xdr:cNvSpPr txBox="1"/>
          </xdr:nvSpPr>
          <xdr:spPr>
            <a:xfrm>
              <a:off x="2352675" y="39090600"/>
              <a:ext cx="5181600" cy="38446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i="1">
                            <a:latin typeface="Cambria Math" panose="02040503050406030204" pitchFamily="18" charset="0"/>
                          </a:rPr>
                        </m:ctrlPr>
                      </m:sSubPr>
                      <m:e>
                        <m:r>
                          <a:rPr lang="en-US" sz="1000" i="1">
                            <a:latin typeface="Cambria Math"/>
                          </a:rPr>
                          <m:t>𝑄</m:t>
                        </m:r>
                      </m:e>
                      <m:sub>
                        <m:r>
                          <a:rPr lang="en-US" sz="1000" i="1">
                            <a:latin typeface="Cambria Math"/>
                          </a:rPr>
                          <m:t>𝑒𝑓𝑓</m:t>
                        </m:r>
                      </m:sub>
                    </m:sSub>
                    <m:r>
                      <a:rPr lang="en-US" sz="1000" b="0" i="1">
                        <a:latin typeface="Cambria Math"/>
                      </a:rPr>
                      <m:t>=</m:t>
                    </m:r>
                    <m:r>
                      <a:rPr lang="en-US" sz="1000" b="0" i="1">
                        <a:latin typeface="Cambria Math"/>
                      </a:rPr>
                      <m:t>𝑂𝑢𝑡𝑝𝑢𝑡</m:t>
                    </m:r>
                    <m:r>
                      <a:rPr lang="en-US" sz="1000" b="0" i="1">
                        <a:latin typeface="Cambria Math"/>
                      </a:rPr>
                      <m:t> </m:t>
                    </m:r>
                    <m:r>
                      <a:rPr lang="en-US" sz="1000" b="0" i="1">
                        <a:latin typeface="Cambria Math"/>
                      </a:rPr>
                      <m:t>𝑀𝑉𝐴𝑅</m:t>
                    </m:r>
                    <m:r>
                      <a:rPr lang="en-US" sz="1000" b="0" i="1">
                        <a:latin typeface="Cambria Math"/>
                      </a:rPr>
                      <m:t> </m:t>
                    </m:r>
                    <m:r>
                      <a:rPr lang="en-US" sz="1000" b="0" i="1">
                        <a:latin typeface="Cambria Math"/>
                      </a:rPr>
                      <m:t>𝑅𝑎𝑡𝑖𝑛𝑔</m:t>
                    </m:r>
                    <m:r>
                      <a:rPr lang="en-US" sz="1000" b="0" i="1">
                        <a:latin typeface="Cambria Math"/>
                      </a:rPr>
                      <m:t> </m:t>
                    </m:r>
                    <m:r>
                      <a:rPr lang="en-US" sz="1000" b="0" i="1">
                        <a:latin typeface="Cambria Math"/>
                      </a:rPr>
                      <m:t>𝑜𝑓</m:t>
                    </m:r>
                    <m:r>
                      <a:rPr lang="en-US" sz="1000" b="0" i="1">
                        <a:latin typeface="Cambria Math"/>
                      </a:rPr>
                      <m:t> </m:t>
                    </m:r>
                    <m:r>
                      <a:rPr lang="en-US" sz="1000" b="0" i="1">
                        <a:latin typeface="Cambria Math"/>
                      </a:rPr>
                      <m:t>𝐹𝑖𝑙𝑡𝑒𝑟</m:t>
                    </m:r>
                    <m:r>
                      <a:rPr lang="en-US" sz="1000" b="0" i="1">
                        <a:latin typeface="Cambria Math"/>
                        <a:ea typeface="Cambria Math"/>
                      </a:rPr>
                      <m:t>=</m:t>
                    </m:r>
                    <m:f>
                      <m:fPr>
                        <m:ctrlPr>
                          <a:rPr lang="en-US" sz="1000" b="0" i="1">
                            <a:latin typeface="Cambria Math" panose="02040503050406030204" pitchFamily="18" charset="0"/>
                            <a:ea typeface="Cambria Math"/>
                          </a:rPr>
                        </m:ctrlPr>
                      </m:fPr>
                      <m:num>
                        <m:r>
                          <a:rPr lang="en-US" sz="1000" i="1">
                            <a:latin typeface="Cambria Math"/>
                            <a:ea typeface="Cambria Math"/>
                          </a:rPr>
                          <m:t>𝐷𝑒𝑠𝑖𝑟𝑒𝑑</m:t>
                        </m:r>
                        <m:r>
                          <a:rPr lang="en-US" sz="1000" i="1">
                            <a:latin typeface="Cambria Math"/>
                            <a:ea typeface="Cambria Math"/>
                          </a:rPr>
                          <m:t> </m:t>
                        </m:r>
                        <m:r>
                          <a:rPr lang="en-US" sz="1000" i="1">
                            <a:latin typeface="Cambria Math"/>
                            <a:ea typeface="Cambria Math"/>
                          </a:rPr>
                          <m:t>3</m:t>
                        </m:r>
                        <m:r>
                          <a:rPr lang="en-US" sz="1000" i="1">
                            <a:latin typeface="Cambria Math"/>
                            <a:ea typeface="Cambria Math"/>
                          </a:rPr>
                          <m:t> </m:t>
                        </m:r>
                        <m:r>
                          <a:rPr lang="en-US" sz="1000" b="0" i="1">
                            <a:latin typeface="Cambria Math"/>
                            <a:ea typeface="Cambria Math"/>
                          </a:rPr>
                          <m:t>𝑃</m:t>
                        </m:r>
                        <m:r>
                          <a:rPr lang="en-US" sz="1000" b="0" i="1">
                            <a:latin typeface="Cambria Math"/>
                            <a:ea typeface="Cambria Math"/>
                          </a:rPr>
                          <m:t>h</m:t>
                        </m:r>
                        <m:r>
                          <a:rPr lang="en-US" sz="1000" b="0" i="1">
                            <a:latin typeface="Cambria Math"/>
                            <a:ea typeface="Cambria Math"/>
                          </a:rPr>
                          <m:t>𝑎𝑠𝑒</m:t>
                        </m:r>
                        <m:r>
                          <a:rPr lang="en-US" sz="1000" b="0" i="1">
                            <a:latin typeface="Cambria Math"/>
                            <a:ea typeface="Cambria Math"/>
                          </a:rPr>
                          <m:t> </m:t>
                        </m:r>
                        <m:r>
                          <a:rPr lang="en-US" sz="1000" i="1">
                            <a:latin typeface="Cambria Math"/>
                            <a:ea typeface="Cambria Math"/>
                          </a:rPr>
                          <m:t>𝑘𝑣𝑎𝑟</m:t>
                        </m:r>
                      </m:num>
                      <m:den>
                        <m:r>
                          <a:rPr lang="en-US" sz="1000" b="0" i="1">
                            <a:latin typeface="Cambria Math"/>
                            <a:ea typeface="Cambria Math"/>
                          </a:rPr>
                          <m:t>1000</m:t>
                        </m:r>
                      </m:den>
                    </m:f>
                    <m:r>
                      <a:rPr lang="en-US" sz="1000" b="0" i="1">
                        <a:latin typeface="Cambria Math"/>
                        <a:ea typeface="Cambria Math"/>
                      </a:rPr>
                      <m:t> =</m:t>
                    </m:r>
                    <m:r>
                      <a:rPr lang="en-US" sz="1000" b="0" i="1">
                        <a:latin typeface="Cambria Math" panose="02040503050406030204" pitchFamily="18" charset="0"/>
                        <a:ea typeface="Cambria Math"/>
                      </a:rPr>
                      <m:t>1</m:t>
                    </m:r>
                    <m:r>
                      <a:rPr lang="en-US" sz="1000" b="0" i="1">
                        <a:latin typeface="Cambria Math"/>
                        <a:ea typeface="Cambria Math"/>
                      </a:rPr>
                      <m:t>.</m:t>
                    </m:r>
                    <m:r>
                      <a:rPr lang="en-US" sz="1000" b="0" i="1">
                        <a:latin typeface="Cambria Math" panose="02040503050406030204" pitchFamily="18" charset="0"/>
                        <a:ea typeface="Cambria Math"/>
                      </a:rPr>
                      <m:t>0</m:t>
                    </m:r>
                    <m:r>
                      <a:rPr lang="en-US" sz="1000" b="0" i="1">
                        <a:latin typeface="Cambria Math"/>
                        <a:ea typeface="Cambria Math"/>
                      </a:rPr>
                      <m:t> </m:t>
                    </m:r>
                    <m:r>
                      <a:rPr lang="en-US" sz="1000" b="0" i="1">
                        <a:latin typeface="Cambria Math"/>
                        <a:ea typeface="Cambria Math"/>
                      </a:rPr>
                      <m:t>𝑀𝑉𝐴𝑅</m:t>
                    </m:r>
                  </m:oMath>
                </m:oMathPara>
              </a14:m>
              <a:endParaRPr lang="en-US" sz="1000" b="0"/>
            </a:p>
          </xdr:txBody>
        </xdr:sp>
      </mc:Choice>
      <mc:Fallback xmlns="">
        <xdr:sp macro="" textlink="">
          <xdr:nvSpPr>
            <xdr:cNvPr id="24" name="TextBox 14">
              <a:extLst>
                <a:ext uri="{FF2B5EF4-FFF2-40B4-BE49-F238E27FC236}">
                  <a16:creationId xmlns:a16="http://schemas.microsoft.com/office/drawing/2014/main" id="{A6374EC3-173E-4343-9AFB-ACAD39F63F12}"/>
                </a:ext>
              </a:extLst>
            </xdr:cNvPr>
            <xdr:cNvSpPr txBox="1"/>
          </xdr:nvSpPr>
          <xdr:spPr>
            <a:xfrm>
              <a:off x="2352675" y="39090600"/>
              <a:ext cx="5181600" cy="38446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i="0">
                  <a:latin typeface="Cambria Math"/>
                </a:rPr>
                <a:t>𝑄</a:t>
              </a:r>
              <a:r>
                <a:rPr lang="en-US" sz="1000" i="0">
                  <a:latin typeface="Cambria Math" panose="02040503050406030204" pitchFamily="18" charset="0"/>
                </a:rPr>
                <a:t>_</a:t>
              </a:r>
              <a:r>
                <a:rPr lang="en-US" sz="1000" i="0">
                  <a:latin typeface="Cambria Math"/>
                </a:rPr>
                <a:t>𝑒𝑓𝑓</a:t>
              </a:r>
              <a:r>
                <a:rPr lang="en-US" sz="1000" b="0" i="0">
                  <a:latin typeface="Cambria Math"/>
                </a:rPr>
                <a:t>=𝑂𝑢𝑡𝑝𝑢𝑡 𝑀𝑉𝐴𝑅 𝑅𝑎𝑡𝑖𝑛𝑔 𝑜𝑓 𝐹𝑖𝑙𝑡𝑒𝑟</a:t>
              </a:r>
              <a:r>
                <a:rPr lang="en-US" sz="1000" b="0" i="0">
                  <a:latin typeface="Cambria Math"/>
                  <a:ea typeface="Cambria Math"/>
                </a:rPr>
                <a:t>=</a:t>
              </a:r>
              <a:r>
                <a:rPr lang="en-US" sz="1000" b="0" i="0">
                  <a:latin typeface="Cambria Math" panose="02040503050406030204" pitchFamily="18" charset="0"/>
                  <a:ea typeface="Cambria Math"/>
                </a:rPr>
                <a:t>(</a:t>
              </a:r>
              <a:r>
                <a:rPr lang="en-US" sz="1000" i="0">
                  <a:latin typeface="Cambria Math"/>
                  <a:ea typeface="Cambria Math"/>
                </a:rPr>
                <a:t>𝐷𝑒𝑠𝑖𝑟𝑒𝑑 3 </a:t>
              </a:r>
              <a:r>
                <a:rPr lang="en-US" sz="1000" b="0" i="0">
                  <a:latin typeface="Cambria Math"/>
                  <a:ea typeface="Cambria Math"/>
                </a:rPr>
                <a:t>𝑃ℎ𝑎𝑠𝑒 </a:t>
              </a:r>
              <a:r>
                <a:rPr lang="en-US" sz="1000" i="0">
                  <a:latin typeface="Cambria Math"/>
                  <a:ea typeface="Cambria Math"/>
                </a:rPr>
                <a:t>𝑘𝑣𝑎𝑟</a:t>
              </a:r>
              <a:r>
                <a:rPr lang="en-US" sz="1000" b="0" i="0">
                  <a:latin typeface="Cambria Math" panose="02040503050406030204" pitchFamily="18" charset="0"/>
                  <a:ea typeface="Cambria Math"/>
                </a:rPr>
                <a:t>)/</a:t>
              </a:r>
              <a:r>
                <a:rPr lang="en-US" sz="1000" b="0" i="0">
                  <a:latin typeface="Cambria Math"/>
                  <a:ea typeface="Cambria Math"/>
                </a:rPr>
                <a:t>1000  =</a:t>
              </a:r>
              <a:r>
                <a:rPr lang="en-US" sz="1000" b="0" i="0">
                  <a:latin typeface="Cambria Math" panose="02040503050406030204" pitchFamily="18" charset="0"/>
                  <a:ea typeface="Cambria Math"/>
                </a:rPr>
                <a:t>1</a:t>
              </a:r>
              <a:r>
                <a:rPr lang="en-US" sz="1000" b="0" i="0">
                  <a:latin typeface="Cambria Math"/>
                  <a:ea typeface="Cambria Math"/>
                </a:rPr>
                <a:t>.</a:t>
              </a:r>
              <a:r>
                <a:rPr lang="en-US" sz="1000" b="0" i="0">
                  <a:latin typeface="Cambria Math" panose="02040503050406030204" pitchFamily="18" charset="0"/>
                  <a:ea typeface="Cambria Math"/>
                </a:rPr>
                <a:t>0</a:t>
              </a:r>
              <a:r>
                <a:rPr lang="en-US" sz="1000" b="0" i="0">
                  <a:latin typeface="Cambria Math"/>
                  <a:ea typeface="Cambria Math"/>
                </a:rPr>
                <a:t> 𝑀𝑉𝐴𝑅</a:t>
              </a:r>
              <a:endParaRPr lang="en-US" sz="1000" b="0"/>
            </a:p>
          </xdr:txBody>
        </xdr:sp>
      </mc:Fallback>
    </mc:AlternateContent>
    <xdr:clientData/>
  </xdr:twoCellAnchor>
  <xdr:twoCellAnchor>
    <xdr:from>
      <xdr:col>12</xdr:col>
      <xdr:colOff>183931</xdr:colOff>
      <xdr:row>172</xdr:row>
      <xdr:rowOff>135164</xdr:rowOff>
    </xdr:from>
    <xdr:to>
      <xdr:col>40</xdr:col>
      <xdr:colOff>47625</xdr:colOff>
      <xdr:row>173</xdr:row>
      <xdr:rowOff>155415</xdr:rowOff>
    </xdr:to>
    <mc:AlternateContent xmlns:mc="http://schemas.openxmlformats.org/markup-compatibility/2006" xmlns:a14="http://schemas.microsoft.com/office/drawing/2010/main">
      <mc:Choice Requires="a14">
        <xdr:sp macro="" textlink="">
          <xdr:nvSpPr>
            <xdr:cNvPr id="25" name="TextBox 25">
              <a:extLst>
                <a:ext uri="{FF2B5EF4-FFF2-40B4-BE49-F238E27FC236}">
                  <a16:creationId xmlns:a16="http://schemas.microsoft.com/office/drawing/2014/main" id="{9B52D881-CCFF-4FFE-ADB9-55D2E7976F6E}"/>
                </a:ext>
              </a:extLst>
            </xdr:cNvPr>
            <xdr:cNvSpPr txBox="1"/>
          </xdr:nvSpPr>
          <xdr:spPr>
            <a:xfrm>
              <a:off x="2355631" y="39454364"/>
              <a:ext cx="4930994" cy="24885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a:t>k</a:t>
              </a:r>
              <a14:m>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𝑉</m:t>
                      </m:r>
                    </m:e>
                    <m:sub>
                      <m:r>
                        <a:rPr lang="en-US" sz="1000" b="0" i="1">
                          <a:latin typeface="Cambria Math"/>
                        </a:rPr>
                        <m:t>𝐿𝐿𝑆𝑌𝑆</m:t>
                      </m:r>
                    </m:sub>
                  </m:sSub>
                  <m:r>
                    <a:rPr lang="en-US" sz="1000" b="0" i="1">
                      <a:latin typeface="Cambria Math"/>
                      <a:ea typeface="Cambria Math"/>
                    </a:rPr>
                    <m:t>=</m:t>
                  </m:r>
                  <m:r>
                    <a:rPr lang="en-US" sz="1000" b="0" i="1">
                      <a:latin typeface="Cambria Math"/>
                      <a:ea typeface="Cambria Math"/>
                    </a:rPr>
                    <m:t>𝐹𝑖𝑙𝑡𝑒𝑟</m:t>
                  </m:r>
                  <m:r>
                    <a:rPr lang="en-US" sz="1000" b="0" i="1">
                      <a:latin typeface="Cambria Math"/>
                      <a:ea typeface="Cambria Math"/>
                    </a:rPr>
                    <m:t> </m:t>
                  </m:r>
                  <m:r>
                    <a:rPr lang="en-US" sz="1000" b="0" i="1">
                      <a:latin typeface="Cambria Math"/>
                      <a:ea typeface="Cambria Math"/>
                    </a:rPr>
                    <m:t>𝑁𝑜𝑚𝑖𝑛𝑎𝑙</m:t>
                  </m:r>
                  <m:r>
                    <a:rPr lang="en-US" sz="1000" b="0" i="1">
                      <a:latin typeface="Cambria Math"/>
                      <a:ea typeface="Cambria Math"/>
                    </a:rPr>
                    <m:t> </m:t>
                  </m:r>
                  <m:r>
                    <a:rPr lang="en-US" sz="1000" b="0" i="1">
                      <a:latin typeface="Cambria Math"/>
                      <a:ea typeface="Cambria Math"/>
                    </a:rPr>
                    <m:t>𝐿𝑖𝑛𝑒</m:t>
                  </m:r>
                  <m:r>
                    <a:rPr lang="en-US" sz="1000" b="0" i="1">
                      <a:latin typeface="Cambria Math" panose="02040503050406030204" pitchFamily="18" charset="0"/>
                      <a:ea typeface="Cambria Math"/>
                    </a:rPr>
                    <m:t>−</m:t>
                  </m:r>
                  <m:r>
                    <a:rPr lang="en-US" sz="1000" b="0" i="1">
                      <a:latin typeface="Cambria Math"/>
                      <a:ea typeface="Cambria Math"/>
                    </a:rPr>
                    <m:t>𝑡𝑜</m:t>
                  </m:r>
                  <m:r>
                    <a:rPr lang="en-US" sz="1000" b="0" i="1">
                      <a:latin typeface="Cambria Math" panose="02040503050406030204" pitchFamily="18" charset="0"/>
                      <a:ea typeface="Cambria Math"/>
                    </a:rPr>
                    <m:t>−</m:t>
                  </m:r>
                  <m:r>
                    <a:rPr lang="en-US" sz="1000" b="0" i="1">
                      <a:latin typeface="Cambria Math"/>
                      <a:ea typeface="Cambria Math"/>
                    </a:rPr>
                    <m:t>𝐿𝑖𝑛𝑒</m:t>
                  </m:r>
                  <m:r>
                    <a:rPr lang="en-US" sz="1000" b="0" i="1">
                      <a:latin typeface="Cambria Math"/>
                      <a:ea typeface="Cambria Math"/>
                    </a:rPr>
                    <m:t> </m:t>
                  </m:r>
                  <m:r>
                    <a:rPr lang="en-US" sz="1000" b="0" i="1">
                      <a:latin typeface="Cambria Math"/>
                      <a:ea typeface="Cambria Math"/>
                    </a:rPr>
                    <m:t>𝑉𝑜𝑙𝑡𝑎𝑔𝑒</m:t>
                  </m:r>
                  <m:r>
                    <a:rPr lang="en-US" sz="1000" b="0" i="1">
                      <a:latin typeface="Cambria Math"/>
                      <a:ea typeface="Cambria Math"/>
                    </a:rPr>
                    <m:t> </m:t>
                  </m:r>
                  <m:r>
                    <a:rPr lang="en-US" sz="1000" b="0" i="1">
                      <a:latin typeface="Cambria Math"/>
                      <a:ea typeface="Cambria Math"/>
                    </a:rPr>
                    <m:t>𝑅𝑎𝑡𝑖𝑛𝑔</m:t>
                  </m:r>
                  <m:r>
                    <a:rPr lang="en-US" sz="1000" b="0" i="1">
                      <a:latin typeface="Cambria Math"/>
                      <a:ea typeface="Cambria Math"/>
                    </a:rPr>
                    <m:t> </m:t>
                  </m:r>
                  <m:d>
                    <m:dPr>
                      <m:ctrlPr>
                        <a:rPr lang="en-US" sz="1000" b="0" i="1">
                          <a:latin typeface="Cambria Math" panose="02040503050406030204" pitchFamily="18" charset="0"/>
                          <a:ea typeface="Cambria Math"/>
                        </a:rPr>
                      </m:ctrlPr>
                    </m:dPr>
                    <m:e>
                      <m:r>
                        <a:rPr lang="en-US" sz="1000" b="0" i="1">
                          <a:latin typeface="Cambria Math"/>
                          <a:ea typeface="Cambria Math"/>
                        </a:rPr>
                        <m:t>𝐾𝑉</m:t>
                      </m:r>
                    </m:e>
                  </m:d>
                  <m:r>
                    <a:rPr lang="en-US" sz="1000" b="0" i="1">
                      <a:latin typeface="Cambria Math"/>
                      <a:ea typeface="Cambria Math"/>
                    </a:rPr>
                    <m:t>=</m:t>
                  </m:r>
                  <m:r>
                    <a:rPr lang="en-US" sz="1000" b="0" i="1">
                      <a:latin typeface="Cambria Math"/>
                      <a:ea typeface="Cambria Math"/>
                    </a:rPr>
                    <m:t>13</m:t>
                  </m:r>
                  <m:r>
                    <a:rPr lang="en-US" sz="1000" b="0" i="1">
                      <a:latin typeface="Cambria Math"/>
                      <a:ea typeface="Cambria Math"/>
                    </a:rPr>
                    <m:t>.</m:t>
                  </m:r>
                  <m:r>
                    <a:rPr lang="en-US" sz="1000" b="0" i="1">
                      <a:latin typeface="Cambria Math"/>
                      <a:ea typeface="Cambria Math"/>
                    </a:rPr>
                    <m:t>8</m:t>
                  </m:r>
                  <m:r>
                    <a:rPr lang="en-US" sz="1000" b="0" i="1">
                      <a:latin typeface="Cambria Math"/>
                      <a:ea typeface="Cambria Math"/>
                    </a:rPr>
                    <m:t> </m:t>
                  </m:r>
                  <m:r>
                    <a:rPr lang="en-US" sz="1000" b="0" i="1">
                      <a:latin typeface="Cambria Math"/>
                      <a:ea typeface="Cambria Math"/>
                    </a:rPr>
                    <m:t>𝑘𝑉</m:t>
                  </m:r>
                </m:oMath>
              </a14:m>
              <a:endParaRPr lang="en-US" sz="1000" b="0"/>
            </a:p>
          </xdr:txBody>
        </xdr:sp>
      </mc:Choice>
      <mc:Fallback xmlns="">
        <xdr:sp macro="" textlink="">
          <xdr:nvSpPr>
            <xdr:cNvPr id="25" name="TextBox 25">
              <a:extLst>
                <a:ext uri="{FF2B5EF4-FFF2-40B4-BE49-F238E27FC236}">
                  <a16:creationId xmlns:a16="http://schemas.microsoft.com/office/drawing/2014/main" id="{9B52D881-CCFF-4FFE-ADB9-55D2E7976F6E}"/>
                </a:ext>
              </a:extLst>
            </xdr:cNvPr>
            <xdr:cNvSpPr txBox="1"/>
          </xdr:nvSpPr>
          <xdr:spPr>
            <a:xfrm>
              <a:off x="2355631" y="39454364"/>
              <a:ext cx="4930994" cy="24885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a:t>k</a:t>
              </a:r>
              <a:r>
                <a:rPr lang="en-US" sz="1000" b="0" i="0">
                  <a:latin typeface="Cambria Math"/>
                </a:rPr>
                <a:t>𝑉</a:t>
              </a:r>
              <a:r>
                <a:rPr lang="en-US" sz="1000" b="0" i="0">
                  <a:latin typeface="Cambria Math" panose="02040503050406030204" pitchFamily="18" charset="0"/>
                </a:rPr>
                <a:t>_</a:t>
              </a:r>
              <a:r>
                <a:rPr lang="en-US" sz="1000" b="0" i="0">
                  <a:latin typeface="Cambria Math"/>
                </a:rPr>
                <a:t>𝐿𝐿𝑆𝑌𝑆</a:t>
              </a:r>
              <a:r>
                <a:rPr lang="en-US" sz="1000" b="0" i="0">
                  <a:latin typeface="Cambria Math"/>
                  <a:ea typeface="Cambria Math"/>
                </a:rPr>
                <a:t>=𝐹𝑖𝑙𝑡𝑒𝑟 𝑁𝑜𝑚𝑖𝑛𝑎𝑙 𝐿𝑖𝑛𝑒</a:t>
              </a:r>
              <a:r>
                <a:rPr lang="en-US" sz="1000" b="0" i="0">
                  <a:latin typeface="Cambria Math" panose="02040503050406030204" pitchFamily="18" charset="0"/>
                  <a:ea typeface="Cambria Math"/>
                </a:rPr>
                <a:t>−</a:t>
              </a:r>
              <a:r>
                <a:rPr lang="en-US" sz="1000" b="0" i="0">
                  <a:latin typeface="Cambria Math"/>
                  <a:ea typeface="Cambria Math"/>
                </a:rPr>
                <a:t>𝑡𝑜</a:t>
              </a:r>
              <a:r>
                <a:rPr lang="en-US" sz="1000" b="0" i="0">
                  <a:latin typeface="Cambria Math" panose="02040503050406030204" pitchFamily="18" charset="0"/>
                  <a:ea typeface="Cambria Math"/>
                </a:rPr>
                <a:t>−</a:t>
              </a:r>
              <a:r>
                <a:rPr lang="en-US" sz="1000" b="0" i="0">
                  <a:latin typeface="Cambria Math"/>
                  <a:ea typeface="Cambria Math"/>
                </a:rPr>
                <a:t>𝐿𝑖𝑛𝑒 𝑉𝑜𝑙𝑡𝑎𝑔𝑒 𝑅𝑎𝑡𝑖𝑛𝑔 </a:t>
              </a:r>
              <a:r>
                <a:rPr lang="en-US" sz="1000" b="0" i="0">
                  <a:latin typeface="Cambria Math" panose="02040503050406030204" pitchFamily="18" charset="0"/>
                  <a:ea typeface="Cambria Math"/>
                </a:rPr>
                <a:t>(</a:t>
              </a:r>
              <a:r>
                <a:rPr lang="en-US" sz="1000" b="0" i="0">
                  <a:latin typeface="Cambria Math"/>
                  <a:ea typeface="Cambria Math"/>
                </a:rPr>
                <a:t>𝐾𝑉</a:t>
              </a:r>
              <a:r>
                <a:rPr lang="en-US" sz="1000" b="0" i="0">
                  <a:latin typeface="Cambria Math" panose="02040503050406030204" pitchFamily="18" charset="0"/>
                  <a:ea typeface="Cambria Math"/>
                </a:rPr>
                <a:t>)</a:t>
              </a:r>
              <a:r>
                <a:rPr lang="en-US" sz="1000" b="0" i="0">
                  <a:latin typeface="Cambria Math"/>
                  <a:ea typeface="Cambria Math"/>
                </a:rPr>
                <a:t>=13.8 𝑘𝑉</a:t>
              </a:r>
              <a:endParaRPr lang="en-US" sz="1000" b="0"/>
            </a:p>
          </xdr:txBody>
        </xdr:sp>
      </mc:Fallback>
    </mc:AlternateContent>
    <xdr:clientData/>
  </xdr:twoCellAnchor>
  <xdr:twoCellAnchor>
    <xdr:from>
      <xdr:col>32</xdr:col>
      <xdr:colOff>114450</xdr:colOff>
      <xdr:row>175</xdr:row>
      <xdr:rowOff>39156</xdr:rowOff>
    </xdr:from>
    <xdr:to>
      <xdr:col>38</xdr:col>
      <xdr:colOff>107125</xdr:colOff>
      <xdr:row>176</xdr:row>
      <xdr:rowOff>49264</xdr:rowOff>
    </xdr:to>
    <mc:AlternateContent xmlns:mc="http://schemas.openxmlformats.org/markup-compatibility/2006" xmlns:a14="http://schemas.microsoft.com/office/drawing/2010/main">
      <mc:Choice Requires="a14">
        <xdr:sp macro="" textlink="">
          <xdr:nvSpPr>
            <xdr:cNvPr id="26" name="TextBox 19">
              <a:extLst>
                <a:ext uri="{FF2B5EF4-FFF2-40B4-BE49-F238E27FC236}">
                  <a16:creationId xmlns:a16="http://schemas.microsoft.com/office/drawing/2014/main" id="{ACF29F5D-7917-49EE-BF54-BED6A1829ABD}"/>
                </a:ext>
              </a:extLst>
            </xdr:cNvPr>
            <xdr:cNvSpPr txBox="1"/>
          </xdr:nvSpPr>
          <xdr:spPr>
            <a:xfrm>
              <a:off x="5905650" y="40044156"/>
              <a:ext cx="1078525" cy="238708"/>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14:m>
                <m:oMath xmlns:m="http://schemas.openxmlformats.org/officeDocument/2006/math">
                  <m:r>
                    <a:rPr lang="en-US" sz="1000" b="0" i="1">
                      <a:solidFill>
                        <a:schemeClr val="tx1"/>
                      </a:solidFill>
                      <a:latin typeface="Cambria Math" panose="02040503050406030204" pitchFamily="18" charset="0"/>
                    </a:rPr>
                    <m:t>𝐶</m:t>
                  </m:r>
                  <m:r>
                    <a:rPr lang="en-US" sz="1000" i="1">
                      <a:solidFill>
                        <a:schemeClr val="tx1"/>
                      </a:solidFill>
                      <a:latin typeface="Cambria Math" panose="02040503050406030204" pitchFamily="18" charset="0"/>
                    </a:rPr>
                    <m:t>=</m:t>
                  </m:r>
                  <m:f>
                    <m:fPr>
                      <m:ctrlPr>
                        <a:rPr lang="en-US" sz="1000" i="1">
                          <a:solidFill>
                            <a:schemeClr val="tx1"/>
                          </a:solidFill>
                          <a:latin typeface="Cambria Math" panose="02040503050406030204" pitchFamily="18" charset="0"/>
                        </a:rPr>
                      </m:ctrlPr>
                    </m:fPr>
                    <m:num>
                      <m:r>
                        <a:rPr lang="en-US" sz="1000" b="0" i="1">
                          <a:solidFill>
                            <a:schemeClr val="tx1"/>
                          </a:solidFill>
                          <a:latin typeface="Cambria Math" panose="02040503050406030204" pitchFamily="18" charset="0"/>
                        </a:rPr>
                        <m:t>1</m:t>
                      </m:r>
                    </m:num>
                    <m:den>
                      <m:r>
                        <a:rPr lang="en-US" sz="1000" b="0" i="1">
                          <a:solidFill>
                            <a:schemeClr val="tx1"/>
                          </a:solidFill>
                          <a:latin typeface="Cambria Math" panose="02040503050406030204" pitchFamily="18" charset="0"/>
                        </a:rPr>
                        <m:t>2</m:t>
                      </m:r>
                      <m:r>
                        <a:rPr lang="en-US" sz="1000" b="0" i="1">
                          <a:solidFill>
                            <a:schemeClr val="tx1"/>
                          </a:solidFill>
                          <a:latin typeface="Cambria Math" panose="02040503050406030204" pitchFamily="18" charset="0"/>
                          <a:ea typeface="Cambria Math" panose="02040503050406030204" pitchFamily="18" charset="0"/>
                        </a:rPr>
                        <m:t>𝜋</m:t>
                      </m:r>
                      <m:r>
                        <a:rPr lang="en-US" sz="1000" b="0" i="1">
                          <a:solidFill>
                            <a:schemeClr val="tx1"/>
                          </a:solidFill>
                          <a:latin typeface="Cambria Math" panose="02040503050406030204" pitchFamily="18" charset="0"/>
                          <a:ea typeface="Cambria Math" panose="02040503050406030204" pitchFamily="18" charset="0"/>
                        </a:rPr>
                        <m:t>𝑓</m:t>
                      </m:r>
                      <m:sSub>
                        <m:sSubPr>
                          <m:ctrlPr>
                            <a:rPr lang="en-US" sz="1000" b="0" i="1">
                              <a:solidFill>
                                <a:schemeClr val="tx1"/>
                              </a:solidFill>
                              <a:latin typeface="Cambria Math" panose="02040503050406030204" pitchFamily="18" charset="0"/>
                              <a:ea typeface="Cambria Math" panose="02040503050406030204" pitchFamily="18" charset="0"/>
                            </a:rPr>
                          </m:ctrlPr>
                        </m:sSubPr>
                        <m:e>
                          <m:r>
                            <a:rPr lang="en-US" sz="1000" b="0" i="1">
                              <a:solidFill>
                                <a:schemeClr val="tx1"/>
                              </a:solidFill>
                              <a:latin typeface="Cambria Math" panose="02040503050406030204" pitchFamily="18" charset="0"/>
                              <a:ea typeface="Cambria Math" panose="02040503050406030204" pitchFamily="18" charset="0"/>
                            </a:rPr>
                            <m:t>𝑋</m:t>
                          </m:r>
                        </m:e>
                        <m:sub>
                          <m:r>
                            <a:rPr lang="en-US" sz="1000" b="0" i="1">
                              <a:solidFill>
                                <a:schemeClr val="tx1"/>
                              </a:solidFill>
                              <a:latin typeface="Cambria Math" panose="02040503050406030204" pitchFamily="18" charset="0"/>
                              <a:ea typeface="Cambria Math" panose="02040503050406030204" pitchFamily="18" charset="0"/>
                            </a:rPr>
                            <m:t>𝑐</m:t>
                          </m:r>
                        </m:sub>
                      </m:sSub>
                    </m:den>
                  </m:f>
                </m:oMath>
              </a14:m>
              <a:r>
                <a:rPr lang="en-US" sz="1000">
                  <a:solidFill>
                    <a:schemeClr val="tx1"/>
                  </a:solidFill>
                </a:rPr>
                <a:t> (f)</a:t>
              </a:r>
            </a:p>
          </xdr:txBody>
        </xdr:sp>
      </mc:Choice>
      <mc:Fallback xmlns="">
        <xdr:sp macro="" textlink="">
          <xdr:nvSpPr>
            <xdr:cNvPr id="26" name="TextBox 19">
              <a:extLst>
                <a:ext uri="{FF2B5EF4-FFF2-40B4-BE49-F238E27FC236}">
                  <a16:creationId xmlns:a16="http://schemas.microsoft.com/office/drawing/2014/main" id="{ACF29F5D-7917-49EE-BF54-BED6A1829ABD}"/>
                </a:ext>
              </a:extLst>
            </xdr:cNvPr>
            <xdr:cNvSpPr txBox="1"/>
          </xdr:nvSpPr>
          <xdr:spPr>
            <a:xfrm>
              <a:off x="5905650" y="40044156"/>
              <a:ext cx="1078525" cy="238708"/>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00" b="0" i="0">
                  <a:solidFill>
                    <a:schemeClr val="tx1"/>
                  </a:solidFill>
                  <a:latin typeface="Cambria Math" panose="02040503050406030204" pitchFamily="18" charset="0"/>
                </a:rPr>
                <a:t>𝐶</a:t>
              </a:r>
              <a:r>
                <a:rPr lang="en-US" sz="1000" i="0">
                  <a:solidFill>
                    <a:schemeClr val="tx1"/>
                  </a:solidFill>
                  <a:latin typeface="Cambria Math" panose="02040503050406030204" pitchFamily="18" charset="0"/>
                </a:rPr>
                <a:t>=</a:t>
              </a:r>
              <a:r>
                <a:rPr lang="en-US" sz="1000" b="0" i="0">
                  <a:solidFill>
                    <a:schemeClr val="tx1"/>
                  </a:solidFill>
                  <a:latin typeface="Cambria Math" panose="02040503050406030204" pitchFamily="18" charset="0"/>
                </a:rPr>
                <a:t>1/(2</a:t>
              </a:r>
              <a:r>
                <a:rPr lang="en-US" sz="1000" b="0" i="0">
                  <a:solidFill>
                    <a:schemeClr val="tx1"/>
                  </a:solidFill>
                  <a:latin typeface="Cambria Math" panose="02040503050406030204" pitchFamily="18" charset="0"/>
                  <a:ea typeface="Cambria Math" panose="02040503050406030204" pitchFamily="18" charset="0"/>
                </a:rPr>
                <a:t>𝜋𝑓𝑋_𝑐 )</a:t>
              </a:r>
              <a:r>
                <a:rPr lang="en-US" sz="1000">
                  <a:solidFill>
                    <a:schemeClr val="tx1"/>
                  </a:solidFill>
                </a:rPr>
                <a:t> (f)</a:t>
              </a:r>
            </a:p>
          </xdr:txBody>
        </xdr:sp>
      </mc:Fallback>
    </mc:AlternateContent>
    <xdr:clientData/>
  </xdr:twoCellAnchor>
  <xdr:twoCellAnchor>
    <xdr:from>
      <xdr:col>21</xdr:col>
      <xdr:colOff>149780</xdr:colOff>
      <xdr:row>176</xdr:row>
      <xdr:rowOff>123549</xdr:rowOff>
    </xdr:from>
    <xdr:to>
      <xdr:col>29</xdr:col>
      <xdr:colOff>85650</xdr:colOff>
      <xdr:row>177</xdr:row>
      <xdr:rowOff>211565</xdr:rowOff>
    </xdr:to>
    <mc:AlternateContent xmlns:mc="http://schemas.openxmlformats.org/markup-compatibility/2006" xmlns:a14="http://schemas.microsoft.com/office/drawing/2010/main">
      <mc:Choice Requires="a14">
        <xdr:sp macro="" textlink="">
          <xdr:nvSpPr>
            <xdr:cNvPr id="27" name="TextBox 34">
              <a:extLst>
                <a:ext uri="{FF2B5EF4-FFF2-40B4-BE49-F238E27FC236}">
                  <a16:creationId xmlns:a16="http://schemas.microsoft.com/office/drawing/2014/main" id="{FB6271D4-A373-4260-BDF1-70B3C2E0C6BF}"/>
                </a:ext>
              </a:extLst>
            </xdr:cNvPr>
            <xdr:cNvSpPr txBox="1"/>
          </xdr:nvSpPr>
          <xdr:spPr>
            <a:xfrm>
              <a:off x="3950255" y="40357149"/>
              <a:ext cx="1383670" cy="316616"/>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n-US" sz="1000" b="0" i="1">
                        <a:solidFill>
                          <a:schemeClr val="tx1"/>
                        </a:solidFill>
                        <a:latin typeface="Cambria Math" panose="02040503050406030204" pitchFamily="18" charset="0"/>
                      </a:rPr>
                      <m:t>𝐿</m:t>
                    </m:r>
                    <m:r>
                      <a:rPr lang="en-US" sz="1000" i="1">
                        <a:solidFill>
                          <a:schemeClr val="tx1"/>
                        </a:solidFill>
                        <a:latin typeface="Cambria Math" panose="02040503050406030204" pitchFamily="18" charset="0"/>
                      </a:rPr>
                      <m:t>=</m:t>
                    </m:r>
                    <m:f>
                      <m:fPr>
                        <m:ctrlPr>
                          <a:rPr lang="en-US" sz="1000" i="1">
                            <a:solidFill>
                              <a:schemeClr val="tx1"/>
                            </a:solidFill>
                            <a:latin typeface="Cambria Math" panose="02040503050406030204" pitchFamily="18" charset="0"/>
                          </a:rPr>
                        </m:ctrlPr>
                      </m:fPr>
                      <m:num>
                        <m:sSub>
                          <m:sSubPr>
                            <m:ctrlPr>
                              <a:rPr lang="en-US" sz="1000" i="1">
                                <a:solidFill>
                                  <a:schemeClr val="tx1"/>
                                </a:solidFill>
                                <a:latin typeface="Cambria Math" panose="02040503050406030204" pitchFamily="18" charset="0"/>
                              </a:rPr>
                            </m:ctrlPr>
                          </m:sSubPr>
                          <m:e>
                            <m:r>
                              <a:rPr lang="en-US" sz="1000" b="0" i="1">
                                <a:solidFill>
                                  <a:schemeClr val="tx1"/>
                                </a:solidFill>
                                <a:latin typeface="Cambria Math" panose="02040503050406030204" pitchFamily="18" charset="0"/>
                              </a:rPr>
                              <m:t>𝑋</m:t>
                            </m:r>
                          </m:e>
                          <m:sub>
                            <m:r>
                              <a:rPr lang="en-US" sz="1000" b="0" i="1">
                                <a:solidFill>
                                  <a:schemeClr val="tx1"/>
                                </a:solidFill>
                                <a:latin typeface="Cambria Math" panose="02040503050406030204" pitchFamily="18" charset="0"/>
                              </a:rPr>
                              <m:t>𝐿</m:t>
                            </m:r>
                          </m:sub>
                        </m:sSub>
                      </m:num>
                      <m:den>
                        <m:r>
                          <a:rPr lang="en-US" sz="1000" b="0" i="1">
                            <a:solidFill>
                              <a:schemeClr val="tx1"/>
                            </a:solidFill>
                            <a:latin typeface="Cambria Math" panose="02040503050406030204" pitchFamily="18" charset="0"/>
                          </a:rPr>
                          <m:t>2</m:t>
                        </m:r>
                        <m:r>
                          <a:rPr lang="en-US" sz="1000" b="0" i="1">
                            <a:solidFill>
                              <a:schemeClr val="tx1"/>
                            </a:solidFill>
                            <a:latin typeface="Cambria Math" panose="02040503050406030204" pitchFamily="18" charset="0"/>
                            <a:ea typeface="Cambria Math" panose="02040503050406030204" pitchFamily="18" charset="0"/>
                          </a:rPr>
                          <m:t>𝜋</m:t>
                        </m:r>
                        <m:r>
                          <a:rPr lang="en-US" sz="1000" b="0" i="1">
                            <a:solidFill>
                              <a:schemeClr val="tx1"/>
                            </a:solidFill>
                            <a:latin typeface="Cambria Math" panose="02040503050406030204" pitchFamily="18" charset="0"/>
                            <a:ea typeface="Cambria Math" panose="02040503050406030204" pitchFamily="18" charset="0"/>
                          </a:rPr>
                          <m:t>𝑓</m:t>
                        </m:r>
                      </m:den>
                    </m:f>
                    <m:r>
                      <a:rPr lang="en-US" sz="1000" b="0" i="1">
                        <a:solidFill>
                          <a:schemeClr val="tx1"/>
                        </a:solidFill>
                        <a:latin typeface="Cambria Math" panose="02040503050406030204" pitchFamily="18" charset="0"/>
                        <a:ea typeface="Cambria Math" panose="02040503050406030204" pitchFamily="18" charset="0"/>
                      </a:rPr>
                      <m:t> (</m:t>
                    </m:r>
                    <m:r>
                      <a:rPr lang="en-US" sz="1000" b="0" i="1">
                        <a:solidFill>
                          <a:schemeClr val="tx1"/>
                        </a:solidFill>
                        <a:latin typeface="Cambria Math" panose="02040503050406030204" pitchFamily="18" charset="0"/>
                        <a:ea typeface="Cambria Math" panose="02040503050406030204" pitchFamily="18" charset="0"/>
                      </a:rPr>
                      <m:t>𝐻</m:t>
                    </m:r>
                    <m:r>
                      <a:rPr lang="en-US" sz="1000" b="0" i="1">
                        <a:solidFill>
                          <a:schemeClr val="tx1"/>
                        </a:solidFill>
                        <a:latin typeface="Cambria Math" panose="02040503050406030204" pitchFamily="18" charset="0"/>
                        <a:ea typeface="Cambria Math" panose="02040503050406030204" pitchFamily="18" charset="0"/>
                      </a:rPr>
                      <m:t>)</m:t>
                    </m:r>
                  </m:oMath>
                </m:oMathPara>
              </a14:m>
              <a:endParaRPr lang="en-US" sz="1000">
                <a:solidFill>
                  <a:schemeClr val="tx1"/>
                </a:solidFill>
              </a:endParaRPr>
            </a:p>
          </xdr:txBody>
        </xdr:sp>
      </mc:Choice>
      <mc:Fallback xmlns="">
        <xdr:sp macro="" textlink="">
          <xdr:nvSpPr>
            <xdr:cNvPr id="27" name="TextBox 34">
              <a:extLst>
                <a:ext uri="{FF2B5EF4-FFF2-40B4-BE49-F238E27FC236}">
                  <a16:creationId xmlns:a16="http://schemas.microsoft.com/office/drawing/2014/main" id="{FB6271D4-A373-4260-BDF1-70B3C2E0C6BF}"/>
                </a:ext>
              </a:extLst>
            </xdr:cNvPr>
            <xdr:cNvSpPr txBox="1"/>
          </xdr:nvSpPr>
          <xdr:spPr>
            <a:xfrm>
              <a:off x="3950255" y="40357149"/>
              <a:ext cx="1383670" cy="316616"/>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pPr/>
              <a:r>
                <a:rPr lang="en-US" sz="1000" b="0" i="0">
                  <a:solidFill>
                    <a:schemeClr val="tx1"/>
                  </a:solidFill>
                  <a:latin typeface="Cambria Math" panose="02040503050406030204" pitchFamily="18" charset="0"/>
                </a:rPr>
                <a:t>𝐿</a:t>
              </a:r>
              <a:r>
                <a:rPr lang="en-US" sz="1000" i="0">
                  <a:solidFill>
                    <a:schemeClr val="tx1"/>
                  </a:solidFill>
                  <a:latin typeface="Cambria Math" panose="02040503050406030204" pitchFamily="18" charset="0"/>
                </a:rPr>
                <a:t>=</a:t>
              </a:r>
              <a:r>
                <a:rPr lang="en-US" sz="1000" b="0" i="0">
                  <a:solidFill>
                    <a:schemeClr val="tx1"/>
                  </a:solidFill>
                  <a:latin typeface="Cambria Math" panose="02040503050406030204" pitchFamily="18" charset="0"/>
                </a:rPr>
                <a:t>𝑋_𝐿/2</a:t>
              </a:r>
              <a:r>
                <a:rPr lang="en-US" sz="1000" b="0" i="0">
                  <a:solidFill>
                    <a:schemeClr val="tx1"/>
                  </a:solidFill>
                  <a:latin typeface="Cambria Math" panose="02040503050406030204" pitchFamily="18" charset="0"/>
                  <a:ea typeface="Cambria Math" panose="02040503050406030204" pitchFamily="18" charset="0"/>
                </a:rPr>
                <a:t>𝜋𝑓  (𝐻)</a:t>
              </a:r>
              <a:endParaRPr lang="en-US" sz="1000">
                <a:solidFill>
                  <a:schemeClr val="tx1"/>
                </a:solidFill>
              </a:endParaRPr>
            </a:p>
          </xdr:txBody>
        </xdr:sp>
      </mc:Fallback>
    </mc:AlternateContent>
    <xdr:clientData/>
  </xdr:twoCellAnchor>
  <xdr:twoCellAnchor>
    <xdr:from>
      <xdr:col>13</xdr:col>
      <xdr:colOff>99942</xdr:colOff>
      <xdr:row>178</xdr:row>
      <xdr:rowOff>38081</xdr:rowOff>
    </xdr:from>
    <xdr:to>
      <xdr:col>22</xdr:col>
      <xdr:colOff>36634</xdr:colOff>
      <xdr:row>178</xdr:row>
      <xdr:rowOff>197379</xdr:rowOff>
    </xdr:to>
    <mc:AlternateContent xmlns:mc="http://schemas.openxmlformats.org/markup-compatibility/2006" xmlns:a14="http://schemas.microsoft.com/office/drawing/2010/main">
      <mc:Choice Requires="a14">
        <xdr:sp macro="" textlink="">
          <xdr:nvSpPr>
            <xdr:cNvPr id="28" name="TextBox 39">
              <a:extLst>
                <a:ext uri="{FF2B5EF4-FFF2-40B4-BE49-F238E27FC236}">
                  <a16:creationId xmlns:a16="http://schemas.microsoft.com/office/drawing/2014/main" id="{BF67FBD3-466D-405A-9790-4752470690B4}"/>
                </a:ext>
              </a:extLst>
            </xdr:cNvPr>
            <xdr:cNvSpPr txBox="1"/>
          </xdr:nvSpPr>
          <xdr:spPr>
            <a:xfrm>
              <a:off x="2452617" y="40728881"/>
              <a:ext cx="1565467" cy="159298"/>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00">
                  <a:solidFill>
                    <a:schemeClr val="tx1"/>
                  </a:solidFill>
                </a:rPr>
                <a:t>R</a:t>
              </a:r>
              <a14:m>
                <m:oMath xmlns:m="http://schemas.openxmlformats.org/officeDocument/2006/math">
                  <m:r>
                    <a:rPr lang="en-US" sz="1000" i="1">
                      <a:solidFill>
                        <a:schemeClr val="tx1"/>
                      </a:solidFill>
                      <a:latin typeface="Cambria Math" panose="02040503050406030204" pitchFamily="18" charset="0"/>
                    </a:rPr>
                    <m:t>=</m:t>
                  </m:r>
                  <m:r>
                    <a:rPr lang="en-US" sz="1000" b="0" i="1">
                      <a:solidFill>
                        <a:schemeClr val="tx1"/>
                      </a:solidFill>
                      <a:latin typeface="Cambria Math" panose="02040503050406030204" pitchFamily="18" charset="0"/>
                    </a:rPr>
                    <m:t>𝐷𝐹</m:t>
                  </m:r>
                  <m:r>
                    <a:rPr lang="en-US" sz="1000" b="0" i="1">
                      <a:solidFill>
                        <a:schemeClr val="tx1"/>
                      </a:solidFill>
                      <a:latin typeface="Cambria Math" panose="02040503050406030204" pitchFamily="18" charset="0"/>
                      <a:ea typeface="Cambria Math" panose="02040503050406030204" pitchFamily="18" charset="0"/>
                    </a:rPr>
                    <m:t>×</m:t>
                  </m:r>
                  <m:sSub>
                    <m:sSubPr>
                      <m:ctrlPr>
                        <a:rPr lang="en-US" sz="1000" b="0" i="1">
                          <a:solidFill>
                            <a:schemeClr val="tx1"/>
                          </a:solidFill>
                          <a:latin typeface="Cambria Math" panose="02040503050406030204" pitchFamily="18" charset="0"/>
                          <a:ea typeface="Cambria Math" panose="02040503050406030204" pitchFamily="18" charset="0"/>
                        </a:rPr>
                      </m:ctrlPr>
                    </m:sSubPr>
                    <m:e>
                      <m:r>
                        <a:rPr lang="en-US" sz="1000" b="0" i="1">
                          <a:solidFill>
                            <a:schemeClr val="tx1"/>
                          </a:solidFill>
                          <a:latin typeface="Cambria Math" panose="02040503050406030204" pitchFamily="18" charset="0"/>
                          <a:ea typeface="Cambria Math" panose="02040503050406030204" pitchFamily="18" charset="0"/>
                        </a:rPr>
                        <m:t>𝑥</m:t>
                      </m:r>
                    </m:e>
                    <m:sub>
                      <m:r>
                        <a:rPr lang="en-US" sz="1000" b="0" i="1">
                          <a:solidFill>
                            <a:schemeClr val="tx1"/>
                          </a:solidFill>
                          <a:latin typeface="Cambria Math" panose="02040503050406030204" pitchFamily="18" charset="0"/>
                          <a:ea typeface="Cambria Math" panose="02040503050406030204" pitchFamily="18" charset="0"/>
                        </a:rPr>
                        <m:t>𝐿</m:t>
                      </m:r>
                    </m:sub>
                  </m:sSub>
                  <m:r>
                    <a:rPr lang="en-US" sz="1000" b="0" i="1">
                      <a:solidFill>
                        <a:schemeClr val="tx1"/>
                      </a:solidFill>
                      <a:latin typeface="Cambria Math" panose="02040503050406030204" pitchFamily="18" charset="0"/>
                      <a:ea typeface="Cambria Math" panose="02040503050406030204" pitchFamily="18" charset="0"/>
                    </a:rPr>
                    <m:t>×</m:t>
                  </m:r>
                  <m:r>
                    <a:rPr lang="en-US" sz="1000" b="0" i="1">
                      <a:solidFill>
                        <a:schemeClr val="tx1"/>
                      </a:solidFill>
                      <a:latin typeface="Cambria Math" panose="02040503050406030204" pitchFamily="18" charset="0"/>
                      <a:ea typeface="Cambria Math" panose="02040503050406030204" pitchFamily="18" charset="0"/>
                    </a:rPr>
                    <m:t>h</m:t>
                  </m:r>
                  <m:r>
                    <a:rPr lang="en-US" sz="1000" b="0" i="1">
                      <a:solidFill>
                        <a:schemeClr val="tx1"/>
                      </a:solidFill>
                      <a:latin typeface="Cambria Math" panose="02040503050406030204" pitchFamily="18" charset="0"/>
                      <a:ea typeface="Cambria Math" panose="02040503050406030204" pitchFamily="18" charset="0"/>
                    </a:rPr>
                    <m:t> (</m:t>
                  </m:r>
                  <m:r>
                    <a:rPr lang="en-US" sz="1000" b="0" i="1">
                      <a:solidFill>
                        <a:schemeClr val="tx1"/>
                      </a:solidFill>
                      <a:latin typeface="Cambria Math" panose="02040503050406030204" pitchFamily="18" charset="0"/>
                      <a:ea typeface="Cambria Math" panose="02040503050406030204" pitchFamily="18" charset="0"/>
                    </a:rPr>
                    <m:t>𝑜</m:t>
                  </m:r>
                  <m:r>
                    <a:rPr lang="en-US" sz="1000" b="0" i="1">
                      <a:solidFill>
                        <a:schemeClr val="tx1"/>
                      </a:solidFill>
                      <a:latin typeface="Cambria Math" panose="02040503050406030204" pitchFamily="18" charset="0"/>
                      <a:ea typeface="Cambria Math" panose="02040503050406030204" pitchFamily="18" charset="0"/>
                    </a:rPr>
                    <m:t>h</m:t>
                  </m:r>
                  <m:r>
                    <a:rPr lang="en-US" sz="1000" b="0" i="1">
                      <a:solidFill>
                        <a:schemeClr val="tx1"/>
                      </a:solidFill>
                      <a:latin typeface="Cambria Math" panose="02040503050406030204" pitchFamily="18" charset="0"/>
                      <a:ea typeface="Cambria Math" panose="02040503050406030204" pitchFamily="18" charset="0"/>
                    </a:rPr>
                    <m:t>𝑚𝑠</m:t>
                  </m:r>
                  <m:r>
                    <a:rPr lang="en-US" sz="1000" b="0" i="1">
                      <a:solidFill>
                        <a:schemeClr val="tx1"/>
                      </a:solidFill>
                      <a:latin typeface="Cambria Math" panose="02040503050406030204" pitchFamily="18" charset="0"/>
                      <a:ea typeface="Cambria Math" panose="02040503050406030204" pitchFamily="18" charset="0"/>
                    </a:rPr>
                    <m:t>)</m:t>
                  </m:r>
                </m:oMath>
              </a14:m>
              <a:endParaRPr lang="en-US" sz="1000">
                <a:solidFill>
                  <a:schemeClr val="tx1"/>
                </a:solidFill>
              </a:endParaRPr>
            </a:p>
          </xdr:txBody>
        </xdr:sp>
      </mc:Choice>
      <mc:Fallback xmlns="">
        <xdr:sp macro="" textlink="">
          <xdr:nvSpPr>
            <xdr:cNvPr id="28" name="TextBox 39">
              <a:extLst>
                <a:ext uri="{FF2B5EF4-FFF2-40B4-BE49-F238E27FC236}">
                  <a16:creationId xmlns:a16="http://schemas.microsoft.com/office/drawing/2014/main" id="{BF67FBD3-466D-405A-9790-4752470690B4}"/>
                </a:ext>
              </a:extLst>
            </xdr:cNvPr>
            <xdr:cNvSpPr txBox="1"/>
          </xdr:nvSpPr>
          <xdr:spPr>
            <a:xfrm>
              <a:off x="2452617" y="40728881"/>
              <a:ext cx="1565467" cy="159298"/>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00">
                  <a:solidFill>
                    <a:schemeClr val="tx1"/>
                  </a:solidFill>
                </a:rPr>
                <a:t>R</a:t>
              </a:r>
              <a:r>
                <a:rPr lang="en-US" sz="1000" i="0">
                  <a:solidFill>
                    <a:schemeClr val="tx1"/>
                  </a:solidFill>
                  <a:latin typeface="Cambria Math" panose="02040503050406030204" pitchFamily="18" charset="0"/>
                </a:rPr>
                <a:t>=</a:t>
              </a:r>
              <a:r>
                <a:rPr lang="en-US" sz="1000" b="0" i="0">
                  <a:solidFill>
                    <a:schemeClr val="tx1"/>
                  </a:solidFill>
                  <a:latin typeface="Cambria Math" panose="02040503050406030204" pitchFamily="18" charset="0"/>
                </a:rPr>
                <a:t>𝐷𝐹</a:t>
              </a:r>
              <a:r>
                <a:rPr lang="en-US" sz="1000" b="0" i="0">
                  <a:solidFill>
                    <a:schemeClr val="tx1"/>
                  </a:solidFill>
                  <a:latin typeface="Cambria Math" panose="02040503050406030204" pitchFamily="18" charset="0"/>
                  <a:ea typeface="Cambria Math" panose="02040503050406030204" pitchFamily="18" charset="0"/>
                </a:rPr>
                <a:t>×𝑥_𝐿×ℎ (𝑜ℎ𝑚𝑠)</a:t>
              </a:r>
              <a:endParaRPr lang="en-US" sz="1000">
                <a:solidFill>
                  <a:schemeClr val="tx1"/>
                </a:solidFill>
              </a:endParaRPr>
            </a:p>
          </xdr:txBody>
        </xdr:sp>
      </mc:Fallback>
    </mc:AlternateContent>
    <xdr:clientData/>
  </xdr:twoCellAnchor>
  <xdr:twoCellAnchor>
    <xdr:from>
      <xdr:col>5</xdr:col>
      <xdr:colOff>53931</xdr:colOff>
      <xdr:row>172</xdr:row>
      <xdr:rowOff>47141</xdr:rowOff>
    </xdr:from>
    <xdr:to>
      <xdr:col>5</xdr:col>
      <xdr:colOff>53931</xdr:colOff>
      <xdr:row>183</xdr:row>
      <xdr:rowOff>114783</xdr:rowOff>
    </xdr:to>
    <xdr:cxnSp macro="">
      <xdr:nvCxnSpPr>
        <xdr:cNvPr id="29" name="Straight Arrow Connector 28">
          <a:extLst>
            <a:ext uri="{FF2B5EF4-FFF2-40B4-BE49-F238E27FC236}">
              <a16:creationId xmlns:a16="http://schemas.microsoft.com/office/drawing/2014/main" id="{09454C28-40A1-467F-AE0F-5AD8768F245D}"/>
            </a:ext>
          </a:extLst>
        </xdr:cNvPr>
        <xdr:cNvCxnSpPr/>
      </xdr:nvCxnSpPr>
      <xdr:spPr>
        <a:xfrm flipV="1">
          <a:off x="958806" y="39366341"/>
          <a:ext cx="0" cy="2582242"/>
        </a:xfrm>
        <a:prstGeom prst="straightConnector1">
          <a:avLst/>
        </a:prstGeom>
        <a:ln w="19050">
          <a:solidFill>
            <a:srgbClr val="0E9ED9"/>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68036</xdr:colOff>
      <xdr:row>177</xdr:row>
      <xdr:rowOff>41501</xdr:rowOff>
    </xdr:from>
    <xdr:to>
      <xdr:col>5</xdr:col>
      <xdr:colOff>53931</xdr:colOff>
      <xdr:row>178</xdr:row>
      <xdr:rowOff>128879</xdr:rowOff>
    </xdr:to>
    <xdr:sp macro="" textlink="">
      <xdr:nvSpPr>
        <xdr:cNvPr id="30" name="TextBox 47">
          <a:extLst>
            <a:ext uri="{FF2B5EF4-FFF2-40B4-BE49-F238E27FC236}">
              <a16:creationId xmlns:a16="http://schemas.microsoft.com/office/drawing/2014/main" id="{9105BAB4-81CC-4FC3-8949-58D2B1ABC1AA}"/>
            </a:ext>
          </a:extLst>
        </xdr:cNvPr>
        <xdr:cNvSpPr txBox="1"/>
      </xdr:nvSpPr>
      <xdr:spPr>
        <a:xfrm>
          <a:off x="429986" y="40503701"/>
          <a:ext cx="528820" cy="315978"/>
        </a:xfrm>
        <a:prstGeom prst="rect">
          <a:avLst/>
        </a:prstGeom>
        <a:noFill/>
        <a:ln w="19050">
          <a:noFill/>
        </a:ln>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400" b="1"/>
            <a:t>V</a:t>
          </a:r>
          <a:r>
            <a:rPr lang="en-US" sz="1400" b="1" baseline="-25000"/>
            <a:t>LN</a:t>
          </a:r>
        </a:p>
      </xdr:txBody>
    </xdr:sp>
    <xdr:clientData/>
  </xdr:twoCellAnchor>
  <xdr:twoCellAnchor>
    <xdr:from>
      <xdr:col>8</xdr:col>
      <xdr:colOff>113430</xdr:colOff>
      <xdr:row>174</xdr:row>
      <xdr:rowOff>89174</xdr:rowOff>
    </xdr:from>
    <xdr:to>
      <xdr:col>11</xdr:col>
      <xdr:colOff>37065</xdr:colOff>
      <xdr:row>175</xdr:row>
      <xdr:rowOff>134423</xdr:rowOff>
    </xdr:to>
    <xdr:sp macro="" textlink="">
      <xdr:nvSpPr>
        <xdr:cNvPr id="31" name="TextBox 42">
          <a:extLst>
            <a:ext uri="{FF2B5EF4-FFF2-40B4-BE49-F238E27FC236}">
              <a16:creationId xmlns:a16="http://schemas.microsoft.com/office/drawing/2014/main" id="{635EA082-C0A9-442F-8028-16B3C083792D}"/>
            </a:ext>
          </a:extLst>
        </xdr:cNvPr>
        <xdr:cNvSpPr txBox="1"/>
      </xdr:nvSpPr>
      <xdr:spPr>
        <a:xfrm>
          <a:off x="1561230" y="39865574"/>
          <a:ext cx="466560" cy="273849"/>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50" b="1"/>
            <a:t>JX</a:t>
          </a:r>
          <a:r>
            <a:rPr lang="en-US" sz="1050" b="1" baseline="-25000"/>
            <a:t>L</a:t>
          </a:r>
        </a:p>
      </xdr:txBody>
    </xdr:sp>
    <xdr:clientData/>
  </xdr:twoCellAnchor>
  <xdr:twoCellAnchor>
    <xdr:from>
      <xdr:col>8</xdr:col>
      <xdr:colOff>138033</xdr:colOff>
      <xdr:row>182</xdr:row>
      <xdr:rowOff>78968</xdr:rowOff>
    </xdr:from>
    <xdr:to>
      <xdr:col>11</xdr:col>
      <xdr:colOff>147278</xdr:colOff>
      <xdr:row>183</xdr:row>
      <xdr:rowOff>141052</xdr:rowOff>
    </xdr:to>
    <xdr:sp macro="" textlink="">
      <xdr:nvSpPr>
        <xdr:cNvPr id="32" name="TextBox 43">
          <a:extLst>
            <a:ext uri="{FF2B5EF4-FFF2-40B4-BE49-F238E27FC236}">
              <a16:creationId xmlns:a16="http://schemas.microsoft.com/office/drawing/2014/main" id="{3E8BB597-BEAF-4F03-825D-DAB6B4FE6358}"/>
            </a:ext>
          </a:extLst>
        </xdr:cNvPr>
        <xdr:cNvSpPr txBox="1"/>
      </xdr:nvSpPr>
      <xdr:spPr>
        <a:xfrm>
          <a:off x="1585833" y="41684168"/>
          <a:ext cx="552170" cy="290684"/>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100" b="1"/>
            <a:t>-JX</a:t>
          </a:r>
          <a:r>
            <a:rPr lang="en-US" sz="1100" b="1" baseline="-25000"/>
            <a:t>C</a:t>
          </a:r>
        </a:p>
      </xdr:txBody>
    </xdr:sp>
    <xdr:clientData/>
  </xdr:twoCellAnchor>
  <xdr:twoCellAnchor>
    <xdr:from>
      <xdr:col>5</xdr:col>
      <xdr:colOff>53931</xdr:colOff>
      <xdr:row>174</xdr:row>
      <xdr:rowOff>17323</xdr:rowOff>
    </xdr:from>
    <xdr:to>
      <xdr:col>7</xdr:col>
      <xdr:colOff>28444</xdr:colOff>
      <xdr:row>175</xdr:row>
      <xdr:rowOff>70990</xdr:rowOff>
    </xdr:to>
    <xdr:sp macro="" textlink="">
      <xdr:nvSpPr>
        <xdr:cNvPr id="33" name="TextBox 45">
          <a:extLst>
            <a:ext uri="{FF2B5EF4-FFF2-40B4-BE49-F238E27FC236}">
              <a16:creationId xmlns:a16="http://schemas.microsoft.com/office/drawing/2014/main" id="{B5100C8C-A0E8-474D-8482-61171A11A008}"/>
            </a:ext>
          </a:extLst>
        </xdr:cNvPr>
        <xdr:cNvSpPr txBox="1"/>
      </xdr:nvSpPr>
      <xdr:spPr>
        <a:xfrm>
          <a:off x="958806" y="39793723"/>
          <a:ext cx="336463" cy="282267"/>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100" b="1"/>
            <a:t>R</a:t>
          </a:r>
          <a:endParaRPr lang="en-US" sz="1100" b="1" baseline="-25000"/>
        </a:p>
      </xdr:txBody>
    </xdr:sp>
    <xdr:clientData/>
  </xdr:twoCellAnchor>
  <xdr:twoCellAnchor editAs="oneCell">
    <xdr:from>
      <xdr:col>54</xdr:col>
      <xdr:colOff>57150</xdr:colOff>
      <xdr:row>58</xdr:row>
      <xdr:rowOff>11206</xdr:rowOff>
    </xdr:from>
    <xdr:to>
      <xdr:col>65</xdr:col>
      <xdr:colOff>51547</xdr:colOff>
      <xdr:row>75</xdr:row>
      <xdr:rowOff>134471</xdr:rowOff>
    </xdr:to>
    <xdr:pic>
      <xdr:nvPicPr>
        <xdr:cNvPr id="34" name="Graphic 33">
          <a:extLst>
            <a:ext uri="{FF2B5EF4-FFF2-40B4-BE49-F238E27FC236}">
              <a16:creationId xmlns:a16="http://schemas.microsoft.com/office/drawing/2014/main" id="{EDA74742-700F-4BC7-9BB2-A1ED7714DE9F}"/>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9829800" y="13270006"/>
          <a:ext cx="1985122" cy="4009465"/>
        </a:xfrm>
        <a:prstGeom prst="rect">
          <a:avLst/>
        </a:prstGeom>
      </xdr:spPr>
    </xdr:pic>
    <xdr:clientData/>
  </xdr:twoCellAnchor>
  <xdr:twoCellAnchor editAs="oneCell">
    <xdr:from>
      <xdr:col>3</xdr:col>
      <xdr:colOff>74097</xdr:colOff>
      <xdr:row>170</xdr:row>
      <xdr:rowOff>134470</xdr:rowOff>
    </xdr:from>
    <xdr:to>
      <xdr:col>12</xdr:col>
      <xdr:colOff>100853</xdr:colOff>
      <xdr:row>185</xdr:row>
      <xdr:rowOff>53511</xdr:rowOff>
    </xdr:to>
    <xdr:pic>
      <xdr:nvPicPr>
        <xdr:cNvPr id="35" name="Graphic 34">
          <a:extLst>
            <a:ext uri="{FF2B5EF4-FFF2-40B4-BE49-F238E27FC236}">
              <a16:creationId xmlns:a16="http://schemas.microsoft.com/office/drawing/2014/main" id="{2B4A04DC-FB7B-4D93-8998-A84F815A68F4}"/>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17022" y="38996470"/>
          <a:ext cx="1655531" cy="33480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44</xdr:col>
      <xdr:colOff>54908</xdr:colOff>
      <xdr:row>77</xdr:row>
      <xdr:rowOff>95251</xdr:rowOff>
    </xdr:from>
    <xdr:to>
      <xdr:col>82</xdr:col>
      <xdr:colOff>104775</xdr:colOff>
      <xdr:row>95</xdr:row>
      <xdr:rowOff>28575</xdr:rowOff>
    </xdr:to>
    <xdr:graphicFrame macro="">
      <xdr:nvGraphicFramePr>
        <xdr:cNvPr id="2" name="Chart 1">
          <a:extLst>
            <a:ext uri="{FF2B5EF4-FFF2-40B4-BE49-F238E27FC236}">
              <a16:creationId xmlns:a16="http://schemas.microsoft.com/office/drawing/2014/main" id="{305694F2-F569-4007-8853-C5F9151B4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123826</xdr:colOff>
      <xdr:row>2</xdr:row>
      <xdr:rowOff>38100</xdr:rowOff>
    </xdr:from>
    <xdr:to>
      <xdr:col>12</xdr:col>
      <xdr:colOff>76201</xdr:colOff>
      <xdr:row>6</xdr:row>
      <xdr:rowOff>95250</xdr:rowOff>
    </xdr:to>
    <xdr:pic>
      <xdr:nvPicPr>
        <xdr:cNvPr id="3" name="Picture 2">
          <a:extLst>
            <a:ext uri="{FF2B5EF4-FFF2-40B4-BE49-F238E27FC236}">
              <a16:creationId xmlns:a16="http://schemas.microsoft.com/office/drawing/2014/main" id="{44F2807D-2F03-4A59-A20A-FAAC7BF88B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152398</xdr:rowOff>
    </xdr:from>
    <xdr:ext cx="1638301" cy="819151"/>
    <xdr:pic>
      <xdr:nvPicPr>
        <xdr:cNvPr id="4" name="Picture 3">
          <a:extLst>
            <a:ext uri="{FF2B5EF4-FFF2-40B4-BE49-F238E27FC236}">
              <a16:creationId xmlns:a16="http://schemas.microsoft.com/office/drawing/2014/main" id="{F47BBAEE-67EE-41E9-A59D-89A0282907F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411199" y="380998"/>
          <a:ext cx="1638301" cy="819151"/>
        </a:xfrm>
        <a:prstGeom prst="rect">
          <a:avLst/>
        </a:prstGeom>
      </xdr:spPr>
    </xdr:pic>
    <xdr:clientData/>
  </xdr:oneCellAnchor>
  <xdr:oneCellAnchor>
    <xdr:from>
      <xdr:col>32</xdr:col>
      <xdr:colOff>19049</xdr:colOff>
      <xdr:row>50</xdr:row>
      <xdr:rowOff>152398</xdr:rowOff>
    </xdr:from>
    <xdr:ext cx="1638301" cy="819151"/>
    <xdr:pic>
      <xdr:nvPicPr>
        <xdr:cNvPr id="5" name="Picture 4">
          <a:extLst>
            <a:ext uri="{FF2B5EF4-FFF2-40B4-BE49-F238E27FC236}">
              <a16:creationId xmlns:a16="http://schemas.microsoft.com/office/drawing/2014/main" id="{AE8CFF6B-A5B8-44BF-B104-9DA7EE33F78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10249" y="11582398"/>
          <a:ext cx="1638301" cy="819151"/>
        </a:xfrm>
        <a:prstGeom prst="rect">
          <a:avLst/>
        </a:prstGeom>
      </xdr:spPr>
    </xdr:pic>
    <xdr:clientData/>
  </xdr:oneCellAnchor>
  <xdr:oneCellAnchor>
    <xdr:from>
      <xdr:col>74</xdr:col>
      <xdr:colOff>19049</xdr:colOff>
      <xdr:row>50</xdr:row>
      <xdr:rowOff>152398</xdr:rowOff>
    </xdr:from>
    <xdr:ext cx="1638301" cy="819151"/>
    <xdr:pic>
      <xdr:nvPicPr>
        <xdr:cNvPr id="6" name="Picture 5">
          <a:extLst>
            <a:ext uri="{FF2B5EF4-FFF2-40B4-BE49-F238E27FC236}">
              <a16:creationId xmlns:a16="http://schemas.microsoft.com/office/drawing/2014/main" id="{9026AB58-74BE-4252-B4C2-39A1264C699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411199" y="11582398"/>
          <a:ext cx="1638301" cy="819151"/>
        </a:xfrm>
        <a:prstGeom prst="rect">
          <a:avLst/>
        </a:prstGeom>
      </xdr:spPr>
    </xdr:pic>
    <xdr:clientData/>
  </xdr:oneCellAnchor>
  <xdr:oneCellAnchor>
    <xdr:from>
      <xdr:col>32</xdr:col>
      <xdr:colOff>19049</xdr:colOff>
      <xdr:row>99</xdr:row>
      <xdr:rowOff>152398</xdr:rowOff>
    </xdr:from>
    <xdr:ext cx="1638301" cy="819151"/>
    <xdr:pic>
      <xdr:nvPicPr>
        <xdr:cNvPr id="7" name="Picture 6">
          <a:extLst>
            <a:ext uri="{FF2B5EF4-FFF2-40B4-BE49-F238E27FC236}">
              <a16:creationId xmlns:a16="http://schemas.microsoft.com/office/drawing/2014/main" id="{DA2EFCFA-4E27-4E88-9629-B3823833AF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10249" y="22783798"/>
          <a:ext cx="1638301" cy="819151"/>
        </a:xfrm>
        <a:prstGeom prst="rect">
          <a:avLst/>
        </a:prstGeom>
      </xdr:spPr>
    </xdr:pic>
    <xdr:clientData/>
  </xdr:oneCellAnchor>
  <xdr:oneCellAnchor>
    <xdr:from>
      <xdr:col>74</xdr:col>
      <xdr:colOff>19049</xdr:colOff>
      <xdr:row>99</xdr:row>
      <xdr:rowOff>152398</xdr:rowOff>
    </xdr:from>
    <xdr:ext cx="1638301" cy="819151"/>
    <xdr:pic>
      <xdr:nvPicPr>
        <xdr:cNvPr id="8" name="Picture 7">
          <a:extLst>
            <a:ext uri="{FF2B5EF4-FFF2-40B4-BE49-F238E27FC236}">
              <a16:creationId xmlns:a16="http://schemas.microsoft.com/office/drawing/2014/main" id="{E34BA6C0-2AEF-4496-AB6A-A7BD397B516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411199" y="22783798"/>
          <a:ext cx="1638301" cy="819151"/>
        </a:xfrm>
        <a:prstGeom prst="rect">
          <a:avLst/>
        </a:prstGeom>
      </xdr:spPr>
    </xdr:pic>
    <xdr:clientData/>
  </xdr:oneCellAnchor>
  <xdr:oneCellAnchor>
    <xdr:from>
      <xdr:col>32</xdr:col>
      <xdr:colOff>19049</xdr:colOff>
      <xdr:row>148</xdr:row>
      <xdr:rowOff>152398</xdr:rowOff>
    </xdr:from>
    <xdr:ext cx="1638301" cy="819151"/>
    <xdr:pic>
      <xdr:nvPicPr>
        <xdr:cNvPr id="9" name="Picture 8">
          <a:extLst>
            <a:ext uri="{FF2B5EF4-FFF2-40B4-BE49-F238E27FC236}">
              <a16:creationId xmlns:a16="http://schemas.microsoft.com/office/drawing/2014/main" id="{E0FD0C65-250A-40FA-B7AE-EEF9F98362E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10249" y="33985198"/>
          <a:ext cx="1638301" cy="819151"/>
        </a:xfrm>
        <a:prstGeom prst="rect">
          <a:avLst/>
        </a:prstGeom>
      </xdr:spPr>
    </xdr:pic>
    <xdr:clientData/>
  </xdr:oneCellAnchor>
  <xdr:oneCellAnchor>
    <xdr:from>
      <xdr:col>74</xdr:col>
      <xdr:colOff>19049</xdr:colOff>
      <xdr:row>148</xdr:row>
      <xdr:rowOff>152398</xdr:rowOff>
    </xdr:from>
    <xdr:ext cx="1638301" cy="819151"/>
    <xdr:pic>
      <xdr:nvPicPr>
        <xdr:cNvPr id="10" name="Picture 9">
          <a:extLst>
            <a:ext uri="{FF2B5EF4-FFF2-40B4-BE49-F238E27FC236}">
              <a16:creationId xmlns:a16="http://schemas.microsoft.com/office/drawing/2014/main" id="{49CB17EC-CCDE-4B1E-B1F2-610058211BD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411199" y="33985198"/>
          <a:ext cx="1638301" cy="819151"/>
        </a:xfrm>
        <a:prstGeom prst="rect">
          <a:avLst/>
        </a:prstGeom>
      </xdr:spPr>
    </xdr:pic>
    <xdr:clientData/>
  </xdr:oneCellAnchor>
  <xdr:twoCellAnchor>
    <xdr:from>
      <xdr:col>4</xdr:col>
      <xdr:colOff>121431</xdr:colOff>
      <xdr:row>173</xdr:row>
      <xdr:rowOff>102149</xdr:rowOff>
    </xdr:from>
    <xdr:to>
      <xdr:col>4</xdr:col>
      <xdr:colOff>121431</xdr:colOff>
      <xdr:row>183</xdr:row>
      <xdr:rowOff>176791</xdr:rowOff>
    </xdr:to>
    <xdr:cxnSp macro="">
      <xdr:nvCxnSpPr>
        <xdr:cNvPr id="11" name="Straight Arrow Connector 10">
          <a:extLst>
            <a:ext uri="{FF2B5EF4-FFF2-40B4-BE49-F238E27FC236}">
              <a16:creationId xmlns:a16="http://schemas.microsoft.com/office/drawing/2014/main" id="{C855994F-6BCF-412E-AF06-D1B54C8BEBF3}"/>
            </a:ext>
          </a:extLst>
        </xdr:cNvPr>
        <xdr:cNvCxnSpPr/>
      </xdr:nvCxnSpPr>
      <xdr:spPr>
        <a:xfrm flipV="1">
          <a:off x="845331" y="39649949"/>
          <a:ext cx="0" cy="2360642"/>
        </a:xfrm>
        <a:prstGeom prst="straightConnector1">
          <a:avLst/>
        </a:prstGeom>
        <a:ln w="19050">
          <a:solidFill>
            <a:srgbClr val="0E9ED9"/>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47642</xdr:colOff>
      <xdr:row>178</xdr:row>
      <xdr:rowOff>938</xdr:rowOff>
    </xdr:from>
    <xdr:to>
      <xdr:col>4</xdr:col>
      <xdr:colOff>121431</xdr:colOff>
      <xdr:row>179</xdr:row>
      <xdr:rowOff>53883</xdr:rowOff>
    </xdr:to>
    <xdr:sp macro="" textlink="">
      <xdr:nvSpPr>
        <xdr:cNvPr id="12" name="TextBox 21">
          <a:extLst>
            <a:ext uri="{FF2B5EF4-FFF2-40B4-BE49-F238E27FC236}">
              <a16:creationId xmlns:a16="http://schemas.microsoft.com/office/drawing/2014/main" id="{D4D6E94C-3F34-408C-A3D1-A9F05234A53A}"/>
            </a:ext>
          </a:extLst>
        </xdr:cNvPr>
        <xdr:cNvSpPr txBox="1"/>
      </xdr:nvSpPr>
      <xdr:spPr>
        <a:xfrm>
          <a:off x="409592" y="40691738"/>
          <a:ext cx="435739" cy="281545"/>
        </a:xfrm>
        <a:prstGeom prst="rect">
          <a:avLst/>
        </a:prstGeom>
        <a:noFill/>
        <a:ln w="19050">
          <a:noFill/>
        </a:ln>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400" b="1"/>
            <a:t>V</a:t>
          </a:r>
          <a:r>
            <a:rPr lang="en-US" sz="1400" b="1" baseline="-25000"/>
            <a:t>LN</a:t>
          </a:r>
        </a:p>
      </xdr:txBody>
    </xdr:sp>
    <xdr:clientData/>
  </xdr:twoCellAnchor>
  <xdr:twoCellAnchor>
    <xdr:from>
      <xdr:col>7</xdr:col>
      <xdr:colOff>112051</xdr:colOff>
      <xdr:row>175</xdr:row>
      <xdr:rowOff>11284</xdr:rowOff>
    </xdr:from>
    <xdr:to>
      <xdr:col>9</xdr:col>
      <xdr:colOff>134443</xdr:colOff>
      <xdr:row>176</xdr:row>
      <xdr:rowOff>33444</xdr:rowOff>
    </xdr:to>
    <xdr:sp macro="" textlink="">
      <xdr:nvSpPr>
        <xdr:cNvPr id="13" name="TextBox 22">
          <a:extLst>
            <a:ext uri="{FF2B5EF4-FFF2-40B4-BE49-F238E27FC236}">
              <a16:creationId xmlns:a16="http://schemas.microsoft.com/office/drawing/2014/main" id="{B31289DA-9DA7-472D-B730-047ADFA56F51}"/>
            </a:ext>
          </a:extLst>
        </xdr:cNvPr>
        <xdr:cNvSpPr txBox="1"/>
      </xdr:nvSpPr>
      <xdr:spPr>
        <a:xfrm>
          <a:off x="1378876" y="40016284"/>
          <a:ext cx="384342" cy="250760"/>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50" b="1"/>
            <a:t>JX</a:t>
          </a:r>
          <a:r>
            <a:rPr lang="en-US" sz="1050" b="1" baseline="-25000"/>
            <a:t>L</a:t>
          </a:r>
        </a:p>
      </xdr:txBody>
    </xdr:sp>
    <xdr:clientData/>
  </xdr:twoCellAnchor>
  <xdr:twoCellAnchor>
    <xdr:from>
      <xdr:col>7</xdr:col>
      <xdr:colOff>113759</xdr:colOff>
      <xdr:row>177</xdr:row>
      <xdr:rowOff>176562</xdr:rowOff>
    </xdr:from>
    <xdr:to>
      <xdr:col>10</xdr:col>
      <xdr:colOff>80532</xdr:colOff>
      <xdr:row>178</xdr:row>
      <xdr:rowOff>206418</xdr:rowOff>
    </xdr:to>
    <xdr:sp macro="" textlink="">
      <xdr:nvSpPr>
        <xdr:cNvPr id="14" name="TextBox 23">
          <a:extLst>
            <a:ext uri="{FF2B5EF4-FFF2-40B4-BE49-F238E27FC236}">
              <a16:creationId xmlns:a16="http://schemas.microsoft.com/office/drawing/2014/main" id="{637E7A9C-BBCA-4A54-86D9-2C3B68CCA0E0}"/>
            </a:ext>
          </a:extLst>
        </xdr:cNvPr>
        <xdr:cNvSpPr txBox="1"/>
      </xdr:nvSpPr>
      <xdr:spPr>
        <a:xfrm>
          <a:off x="1380584" y="40638762"/>
          <a:ext cx="509698" cy="258456"/>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100" b="1"/>
            <a:t>-JX</a:t>
          </a:r>
          <a:r>
            <a:rPr lang="en-US" sz="1100" b="1" baseline="-25000"/>
            <a:t>CA</a:t>
          </a:r>
        </a:p>
      </xdr:txBody>
    </xdr:sp>
    <xdr:clientData/>
  </xdr:twoCellAnchor>
  <xdr:twoCellAnchor>
    <xdr:from>
      <xdr:col>4</xdr:col>
      <xdr:colOff>69926</xdr:colOff>
      <xdr:row>175</xdr:row>
      <xdr:rowOff>138247</xdr:rowOff>
    </xdr:from>
    <xdr:to>
      <xdr:col>5</xdr:col>
      <xdr:colOff>165605</xdr:colOff>
      <xdr:row>176</xdr:row>
      <xdr:rowOff>168104</xdr:rowOff>
    </xdr:to>
    <xdr:sp macro="" textlink="">
      <xdr:nvSpPr>
        <xdr:cNvPr id="15" name="TextBox 35">
          <a:extLst>
            <a:ext uri="{FF2B5EF4-FFF2-40B4-BE49-F238E27FC236}">
              <a16:creationId xmlns:a16="http://schemas.microsoft.com/office/drawing/2014/main" id="{4CA250C8-11DD-4B1D-B76E-5BAC1F05E229}"/>
            </a:ext>
          </a:extLst>
        </xdr:cNvPr>
        <xdr:cNvSpPr txBox="1"/>
      </xdr:nvSpPr>
      <xdr:spPr>
        <a:xfrm>
          <a:off x="793826" y="40143247"/>
          <a:ext cx="276654" cy="258457"/>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100" b="1"/>
            <a:t>R</a:t>
          </a:r>
          <a:endParaRPr lang="en-US" sz="1100" b="1" baseline="-25000"/>
        </a:p>
      </xdr:txBody>
    </xdr:sp>
    <xdr:clientData/>
  </xdr:twoCellAnchor>
  <xdr:twoCellAnchor>
    <xdr:from>
      <xdr:col>7</xdr:col>
      <xdr:colOff>151847</xdr:colOff>
      <xdr:row>182</xdr:row>
      <xdr:rowOff>117588</xdr:rowOff>
    </xdr:from>
    <xdr:to>
      <xdr:col>10</xdr:col>
      <xdr:colOff>134682</xdr:colOff>
      <xdr:row>183</xdr:row>
      <xdr:rowOff>147444</xdr:rowOff>
    </xdr:to>
    <xdr:sp macro="" textlink="">
      <xdr:nvSpPr>
        <xdr:cNvPr id="16" name="TextBox 49">
          <a:extLst>
            <a:ext uri="{FF2B5EF4-FFF2-40B4-BE49-F238E27FC236}">
              <a16:creationId xmlns:a16="http://schemas.microsoft.com/office/drawing/2014/main" id="{2BDC3EFF-C9AD-4868-A6AB-31BD2F0583A6}"/>
            </a:ext>
          </a:extLst>
        </xdr:cNvPr>
        <xdr:cNvSpPr txBox="1"/>
      </xdr:nvSpPr>
      <xdr:spPr>
        <a:xfrm>
          <a:off x="1418672" y="41722788"/>
          <a:ext cx="525760" cy="258456"/>
        </a:xfrm>
        <a:prstGeom prst="rect">
          <a:avLst/>
        </a:prstGeom>
        <a:noFill/>
      </xdr:spPr>
      <xdr:txBody>
        <a:bodyPr wrap="square" rtlCol="0">
          <a:no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100" b="1"/>
            <a:t>-JX</a:t>
          </a:r>
          <a:r>
            <a:rPr lang="en-US" sz="1100" b="1" baseline="-25000"/>
            <a:t>CM</a:t>
          </a:r>
        </a:p>
      </xdr:txBody>
    </xdr:sp>
    <xdr:clientData/>
  </xdr:twoCellAnchor>
  <xdr:twoCellAnchor>
    <xdr:from>
      <xdr:col>12</xdr:col>
      <xdr:colOff>152357</xdr:colOff>
      <xdr:row>171</xdr:row>
      <xdr:rowOff>165757</xdr:rowOff>
    </xdr:from>
    <xdr:to>
      <xdr:col>40</xdr:col>
      <xdr:colOff>0</xdr:colOff>
      <xdr:row>173</xdr:row>
      <xdr:rowOff>86987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FE2C2A1-B88A-4010-9E45-B6513A5CA10D}"/>
                </a:ext>
              </a:extLst>
            </xdr:cNvPr>
            <xdr:cNvSpPr txBox="1"/>
          </xdr:nvSpPr>
          <xdr:spPr>
            <a:xfrm>
              <a:off x="2324057" y="39256357"/>
              <a:ext cx="4914943" cy="37843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i="1">
                            <a:latin typeface="Cambria Math" panose="02040503050406030204" pitchFamily="18" charset="0"/>
                          </a:rPr>
                        </m:ctrlPr>
                      </m:sSubPr>
                      <m:e>
                        <m:r>
                          <a:rPr lang="en-US" sz="1000" i="1">
                            <a:latin typeface="Cambria Math"/>
                          </a:rPr>
                          <m:t>𝑄</m:t>
                        </m:r>
                      </m:e>
                      <m:sub>
                        <m:r>
                          <a:rPr lang="en-US" sz="1000" i="1">
                            <a:latin typeface="Cambria Math"/>
                          </a:rPr>
                          <m:t>𝑒𝑓𝑓</m:t>
                        </m:r>
                      </m:sub>
                    </m:sSub>
                    <m:r>
                      <a:rPr lang="en-US" sz="1000" b="0" i="1">
                        <a:latin typeface="Cambria Math"/>
                      </a:rPr>
                      <m:t>=</m:t>
                    </m:r>
                    <m:r>
                      <a:rPr lang="en-US" sz="1000" b="0" i="1">
                        <a:latin typeface="Cambria Math"/>
                      </a:rPr>
                      <m:t>𝑂𝑢𝑡𝑝𝑢𝑡</m:t>
                    </m:r>
                    <m:r>
                      <a:rPr lang="en-US" sz="1000" b="0" i="1">
                        <a:latin typeface="Cambria Math"/>
                      </a:rPr>
                      <m:t> </m:t>
                    </m:r>
                    <m:r>
                      <a:rPr lang="en-US" sz="1000" b="0" i="1">
                        <a:latin typeface="Cambria Math"/>
                      </a:rPr>
                      <m:t>𝑀𝑉𝐴𝑅</m:t>
                    </m:r>
                    <m:r>
                      <a:rPr lang="en-US" sz="1000" b="0" i="1">
                        <a:latin typeface="Cambria Math"/>
                      </a:rPr>
                      <m:t> </m:t>
                    </m:r>
                    <m:r>
                      <a:rPr lang="en-US" sz="1000" b="0" i="1">
                        <a:latin typeface="Cambria Math"/>
                      </a:rPr>
                      <m:t>𝑅𝑎𝑡𝑖𝑛𝑔</m:t>
                    </m:r>
                    <m:r>
                      <a:rPr lang="en-US" sz="1000" b="0" i="1">
                        <a:latin typeface="Cambria Math"/>
                      </a:rPr>
                      <m:t> </m:t>
                    </m:r>
                    <m:r>
                      <a:rPr lang="en-US" sz="1000" b="0" i="1">
                        <a:latin typeface="Cambria Math"/>
                      </a:rPr>
                      <m:t>𝑜𝑓</m:t>
                    </m:r>
                    <m:r>
                      <a:rPr lang="en-US" sz="1000" b="0" i="1">
                        <a:latin typeface="Cambria Math"/>
                      </a:rPr>
                      <m:t> </m:t>
                    </m:r>
                    <m:r>
                      <a:rPr lang="en-US" sz="1000" b="0" i="1">
                        <a:latin typeface="Cambria Math"/>
                      </a:rPr>
                      <m:t>𝐹𝑖𝑙𝑡𝑒𝑟</m:t>
                    </m:r>
                    <m:r>
                      <a:rPr lang="en-US" sz="1000" b="0" i="1">
                        <a:latin typeface="Cambria Math"/>
                        <a:ea typeface="Cambria Math"/>
                      </a:rPr>
                      <m:t>=</m:t>
                    </m:r>
                    <m:f>
                      <m:fPr>
                        <m:ctrlPr>
                          <a:rPr lang="en-US" sz="1000" b="0" i="1">
                            <a:latin typeface="Cambria Math" panose="02040503050406030204" pitchFamily="18" charset="0"/>
                            <a:ea typeface="Cambria Math"/>
                          </a:rPr>
                        </m:ctrlPr>
                      </m:fPr>
                      <m:num>
                        <m:r>
                          <a:rPr lang="en-US" sz="1000" i="1">
                            <a:latin typeface="Cambria Math"/>
                            <a:ea typeface="Cambria Math"/>
                          </a:rPr>
                          <m:t>𝐷𝑒𝑠𝑖𝑟𝑒𝑑</m:t>
                        </m:r>
                        <m:r>
                          <a:rPr lang="en-US" sz="1000" i="1">
                            <a:latin typeface="Cambria Math"/>
                            <a:ea typeface="Cambria Math"/>
                          </a:rPr>
                          <m:t> </m:t>
                        </m:r>
                        <m:r>
                          <a:rPr lang="en-US" sz="1000" i="1">
                            <a:latin typeface="Cambria Math"/>
                            <a:ea typeface="Cambria Math"/>
                          </a:rPr>
                          <m:t>3</m:t>
                        </m:r>
                        <m:r>
                          <a:rPr lang="en-US" sz="1000" i="1">
                            <a:latin typeface="Cambria Math"/>
                            <a:ea typeface="Cambria Math"/>
                          </a:rPr>
                          <m:t> </m:t>
                        </m:r>
                        <m:r>
                          <a:rPr lang="en-US" sz="1000" b="0" i="1">
                            <a:latin typeface="Cambria Math"/>
                            <a:ea typeface="Cambria Math"/>
                          </a:rPr>
                          <m:t>𝑃</m:t>
                        </m:r>
                        <m:r>
                          <a:rPr lang="en-US" sz="1000" b="0" i="1">
                            <a:latin typeface="Cambria Math"/>
                            <a:ea typeface="Cambria Math"/>
                          </a:rPr>
                          <m:t>h</m:t>
                        </m:r>
                        <m:r>
                          <a:rPr lang="en-US" sz="1000" b="0" i="1">
                            <a:latin typeface="Cambria Math"/>
                            <a:ea typeface="Cambria Math"/>
                          </a:rPr>
                          <m:t>𝑎𝑠𝑒</m:t>
                        </m:r>
                        <m:r>
                          <a:rPr lang="en-US" sz="1000" b="0" i="1">
                            <a:latin typeface="Cambria Math"/>
                            <a:ea typeface="Cambria Math"/>
                          </a:rPr>
                          <m:t> </m:t>
                        </m:r>
                        <m:r>
                          <a:rPr lang="en-US" sz="1000" i="1">
                            <a:latin typeface="Cambria Math"/>
                            <a:ea typeface="Cambria Math"/>
                          </a:rPr>
                          <m:t>𝑘𝑣𝑎𝑟</m:t>
                        </m:r>
                      </m:num>
                      <m:den>
                        <m:r>
                          <a:rPr lang="en-US" sz="1000" b="0" i="1">
                            <a:latin typeface="Cambria Math"/>
                            <a:ea typeface="Cambria Math"/>
                          </a:rPr>
                          <m:t>1000</m:t>
                        </m:r>
                      </m:den>
                    </m:f>
                    <m:r>
                      <a:rPr lang="en-US" sz="1000" b="0" i="1">
                        <a:latin typeface="Cambria Math"/>
                        <a:ea typeface="Cambria Math"/>
                      </a:rPr>
                      <m:t> =</m:t>
                    </m:r>
                    <m:r>
                      <a:rPr lang="en-US" sz="1000" b="0" i="1">
                        <a:latin typeface="Cambria Math" panose="02040503050406030204" pitchFamily="18" charset="0"/>
                        <a:ea typeface="Cambria Math"/>
                      </a:rPr>
                      <m:t>1</m:t>
                    </m:r>
                    <m:r>
                      <a:rPr lang="en-US" sz="1000" b="0" i="1">
                        <a:latin typeface="Cambria Math"/>
                        <a:ea typeface="Cambria Math"/>
                      </a:rPr>
                      <m:t>.</m:t>
                    </m:r>
                    <m:r>
                      <a:rPr lang="en-US" sz="1000" b="0" i="1">
                        <a:latin typeface="Cambria Math" panose="02040503050406030204" pitchFamily="18" charset="0"/>
                        <a:ea typeface="Cambria Math"/>
                      </a:rPr>
                      <m:t>0</m:t>
                    </m:r>
                    <m:r>
                      <a:rPr lang="en-US" sz="1000" b="0" i="1">
                        <a:latin typeface="Cambria Math"/>
                        <a:ea typeface="Cambria Math"/>
                      </a:rPr>
                      <m:t> </m:t>
                    </m:r>
                    <m:r>
                      <a:rPr lang="en-US" sz="1000" b="0" i="1">
                        <a:latin typeface="Cambria Math"/>
                        <a:ea typeface="Cambria Math"/>
                      </a:rPr>
                      <m:t>𝑀𝑉𝐴𝑅</m:t>
                    </m:r>
                  </m:oMath>
                </m:oMathPara>
              </a14:m>
              <a:endParaRPr lang="en-US" sz="1000" b="0"/>
            </a:p>
          </xdr:txBody>
        </xdr:sp>
      </mc:Choice>
      <mc:Fallback xmlns="">
        <xdr:sp macro="" textlink="">
          <xdr:nvSpPr>
            <xdr:cNvPr id="17" name="TextBox 16">
              <a:extLst>
                <a:ext uri="{FF2B5EF4-FFF2-40B4-BE49-F238E27FC236}">
                  <a16:creationId xmlns:a16="http://schemas.microsoft.com/office/drawing/2014/main" id="{EFE2C2A1-B88A-4010-9E45-B6513A5CA10D}"/>
                </a:ext>
              </a:extLst>
            </xdr:cNvPr>
            <xdr:cNvSpPr txBox="1"/>
          </xdr:nvSpPr>
          <xdr:spPr>
            <a:xfrm>
              <a:off x="2324057" y="39256357"/>
              <a:ext cx="4914943" cy="37843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i="0">
                  <a:latin typeface="Cambria Math"/>
                </a:rPr>
                <a:t>𝑄</a:t>
              </a:r>
              <a:r>
                <a:rPr lang="en-US" sz="1000" i="0">
                  <a:latin typeface="Cambria Math" panose="02040503050406030204" pitchFamily="18" charset="0"/>
                </a:rPr>
                <a:t>_</a:t>
              </a:r>
              <a:r>
                <a:rPr lang="en-US" sz="1000" i="0">
                  <a:latin typeface="Cambria Math"/>
                </a:rPr>
                <a:t>𝑒𝑓𝑓</a:t>
              </a:r>
              <a:r>
                <a:rPr lang="en-US" sz="1000" b="0" i="0">
                  <a:latin typeface="Cambria Math"/>
                </a:rPr>
                <a:t>=𝑂𝑢𝑡𝑝𝑢𝑡 𝑀𝑉𝐴𝑅 𝑅𝑎𝑡𝑖𝑛𝑔 𝑜𝑓 𝐹𝑖𝑙𝑡𝑒𝑟</a:t>
              </a:r>
              <a:r>
                <a:rPr lang="en-US" sz="1000" b="0" i="0">
                  <a:latin typeface="Cambria Math"/>
                  <a:ea typeface="Cambria Math"/>
                </a:rPr>
                <a:t>=</a:t>
              </a:r>
              <a:r>
                <a:rPr lang="en-US" sz="1000" b="0" i="0">
                  <a:latin typeface="Cambria Math" panose="02040503050406030204" pitchFamily="18" charset="0"/>
                  <a:ea typeface="Cambria Math"/>
                </a:rPr>
                <a:t>(</a:t>
              </a:r>
              <a:r>
                <a:rPr lang="en-US" sz="1000" i="0">
                  <a:latin typeface="Cambria Math"/>
                  <a:ea typeface="Cambria Math"/>
                </a:rPr>
                <a:t>𝐷𝑒𝑠𝑖𝑟𝑒𝑑 3 </a:t>
              </a:r>
              <a:r>
                <a:rPr lang="en-US" sz="1000" b="0" i="0">
                  <a:latin typeface="Cambria Math"/>
                  <a:ea typeface="Cambria Math"/>
                </a:rPr>
                <a:t>𝑃ℎ𝑎𝑠𝑒 </a:t>
              </a:r>
              <a:r>
                <a:rPr lang="en-US" sz="1000" i="0">
                  <a:latin typeface="Cambria Math"/>
                  <a:ea typeface="Cambria Math"/>
                </a:rPr>
                <a:t>𝑘𝑣𝑎𝑟</a:t>
              </a:r>
              <a:r>
                <a:rPr lang="en-US" sz="1000" b="0" i="0">
                  <a:latin typeface="Cambria Math" panose="02040503050406030204" pitchFamily="18" charset="0"/>
                  <a:ea typeface="Cambria Math"/>
                </a:rPr>
                <a:t>)/</a:t>
              </a:r>
              <a:r>
                <a:rPr lang="en-US" sz="1000" b="0" i="0">
                  <a:latin typeface="Cambria Math"/>
                  <a:ea typeface="Cambria Math"/>
                </a:rPr>
                <a:t>1000  =</a:t>
              </a:r>
              <a:r>
                <a:rPr lang="en-US" sz="1000" b="0" i="0">
                  <a:latin typeface="Cambria Math" panose="02040503050406030204" pitchFamily="18" charset="0"/>
                  <a:ea typeface="Cambria Math"/>
                </a:rPr>
                <a:t>1</a:t>
              </a:r>
              <a:r>
                <a:rPr lang="en-US" sz="1000" b="0" i="0">
                  <a:latin typeface="Cambria Math"/>
                  <a:ea typeface="Cambria Math"/>
                </a:rPr>
                <a:t>.</a:t>
              </a:r>
              <a:r>
                <a:rPr lang="en-US" sz="1000" b="0" i="0">
                  <a:latin typeface="Cambria Math" panose="02040503050406030204" pitchFamily="18" charset="0"/>
                  <a:ea typeface="Cambria Math"/>
                </a:rPr>
                <a:t>0</a:t>
              </a:r>
              <a:r>
                <a:rPr lang="en-US" sz="1000" b="0" i="0">
                  <a:latin typeface="Cambria Math"/>
                  <a:ea typeface="Cambria Math"/>
                </a:rPr>
                <a:t> 𝑀𝑉𝐴𝑅</a:t>
              </a:r>
              <a:endParaRPr lang="en-US" sz="1000" b="0"/>
            </a:p>
          </xdr:txBody>
        </xdr:sp>
      </mc:Fallback>
    </mc:AlternateContent>
    <xdr:clientData/>
  </xdr:twoCellAnchor>
  <xdr:twoCellAnchor>
    <xdr:from>
      <xdr:col>13</xdr:col>
      <xdr:colOff>117</xdr:colOff>
      <xdr:row>173</xdr:row>
      <xdr:rowOff>108856</xdr:rowOff>
    </xdr:from>
    <xdr:to>
      <xdr:col>42</xdr:col>
      <xdr:colOff>70994</xdr:colOff>
      <xdr:row>174</xdr:row>
      <xdr:rowOff>125793</xdr:rowOff>
    </xdr:to>
    <mc:AlternateContent xmlns:mc="http://schemas.openxmlformats.org/markup-compatibility/2006" xmlns:a14="http://schemas.microsoft.com/office/drawing/2010/main">
      <mc:Choice Requires="a14">
        <xdr:sp macro="" textlink="">
          <xdr:nvSpPr>
            <xdr:cNvPr id="18" name="TextBox 25">
              <a:extLst>
                <a:ext uri="{FF2B5EF4-FFF2-40B4-BE49-F238E27FC236}">
                  <a16:creationId xmlns:a16="http://schemas.microsoft.com/office/drawing/2014/main" id="{E3774695-49B6-405D-B764-EFB1CCE4D1B0}"/>
                </a:ext>
              </a:extLst>
            </xdr:cNvPr>
            <xdr:cNvSpPr txBox="1"/>
          </xdr:nvSpPr>
          <xdr:spPr>
            <a:xfrm>
              <a:off x="2352792" y="39656656"/>
              <a:ext cx="5319152" cy="24553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a:t>k</a:t>
              </a:r>
              <a14:m>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𝑉</m:t>
                      </m:r>
                    </m:e>
                    <m:sub>
                      <m:r>
                        <a:rPr lang="en-US" sz="1000" b="0" i="1">
                          <a:latin typeface="Cambria Math"/>
                        </a:rPr>
                        <m:t>𝐿𝐿𝑆𝑌𝑆</m:t>
                      </m:r>
                    </m:sub>
                  </m:sSub>
                  <m:r>
                    <a:rPr lang="en-US" sz="1000" b="0" i="1">
                      <a:latin typeface="Cambria Math"/>
                      <a:ea typeface="Cambria Math"/>
                    </a:rPr>
                    <m:t>=</m:t>
                  </m:r>
                  <m:r>
                    <a:rPr lang="en-US" sz="1000" b="0" i="1">
                      <a:latin typeface="Cambria Math"/>
                      <a:ea typeface="Cambria Math"/>
                    </a:rPr>
                    <m:t>𝐹𝑖𝑙𝑡𝑒𝑟</m:t>
                  </m:r>
                  <m:r>
                    <a:rPr lang="en-US" sz="1000" b="0" i="1">
                      <a:latin typeface="Cambria Math"/>
                      <a:ea typeface="Cambria Math"/>
                    </a:rPr>
                    <m:t> </m:t>
                  </m:r>
                  <m:r>
                    <a:rPr lang="en-US" sz="1000" b="0" i="1">
                      <a:latin typeface="Cambria Math"/>
                      <a:ea typeface="Cambria Math"/>
                    </a:rPr>
                    <m:t>𝑁𝑜𝑚𝑖𝑛𝑎𝑙</m:t>
                  </m:r>
                  <m:r>
                    <a:rPr lang="en-US" sz="1000" b="0" i="1">
                      <a:latin typeface="Cambria Math"/>
                      <a:ea typeface="Cambria Math"/>
                    </a:rPr>
                    <m:t> </m:t>
                  </m:r>
                  <m:r>
                    <a:rPr lang="en-US" sz="1000" b="0" i="1">
                      <a:latin typeface="Cambria Math"/>
                      <a:ea typeface="Cambria Math"/>
                    </a:rPr>
                    <m:t>𝐿𝑖𝑛𝑒</m:t>
                  </m:r>
                  <m:r>
                    <a:rPr lang="en-US" sz="1000" b="0" i="1">
                      <a:latin typeface="Cambria Math" panose="02040503050406030204" pitchFamily="18" charset="0"/>
                      <a:ea typeface="Cambria Math"/>
                    </a:rPr>
                    <m:t>−</m:t>
                  </m:r>
                  <m:r>
                    <a:rPr lang="en-US" sz="1000" b="0" i="1">
                      <a:latin typeface="Cambria Math"/>
                      <a:ea typeface="Cambria Math"/>
                    </a:rPr>
                    <m:t>𝑡𝑜</m:t>
                  </m:r>
                  <m:r>
                    <a:rPr lang="en-US" sz="1000" b="0" i="1">
                      <a:latin typeface="Cambria Math" panose="02040503050406030204" pitchFamily="18" charset="0"/>
                      <a:ea typeface="Cambria Math"/>
                    </a:rPr>
                    <m:t>−</m:t>
                  </m:r>
                  <m:r>
                    <a:rPr lang="en-US" sz="1000" b="0" i="1">
                      <a:latin typeface="Cambria Math"/>
                      <a:ea typeface="Cambria Math"/>
                    </a:rPr>
                    <m:t>𝐿𝑖𝑛𝑒</m:t>
                  </m:r>
                  <m:r>
                    <a:rPr lang="en-US" sz="1000" b="0" i="1">
                      <a:latin typeface="Cambria Math"/>
                      <a:ea typeface="Cambria Math"/>
                    </a:rPr>
                    <m:t> </m:t>
                  </m:r>
                  <m:r>
                    <a:rPr lang="en-US" sz="1000" b="0" i="1">
                      <a:latin typeface="Cambria Math"/>
                      <a:ea typeface="Cambria Math"/>
                    </a:rPr>
                    <m:t>𝑉𝑜𝑙𝑡𝑎𝑔𝑒</m:t>
                  </m:r>
                  <m:r>
                    <a:rPr lang="en-US" sz="1000" b="0" i="1">
                      <a:latin typeface="Cambria Math"/>
                      <a:ea typeface="Cambria Math"/>
                    </a:rPr>
                    <m:t> </m:t>
                  </m:r>
                  <m:r>
                    <a:rPr lang="en-US" sz="1000" b="0" i="1">
                      <a:latin typeface="Cambria Math"/>
                      <a:ea typeface="Cambria Math"/>
                    </a:rPr>
                    <m:t>𝑅𝑎𝑡𝑖𝑛𝑔</m:t>
                  </m:r>
                  <m:r>
                    <a:rPr lang="en-US" sz="1000" b="0" i="1">
                      <a:latin typeface="Cambria Math"/>
                      <a:ea typeface="Cambria Math"/>
                    </a:rPr>
                    <m:t> </m:t>
                  </m:r>
                  <m:d>
                    <m:dPr>
                      <m:ctrlPr>
                        <a:rPr lang="en-US" sz="1000" b="0" i="1">
                          <a:latin typeface="Cambria Math" panose="02040503050406030204" pitchFamily="18" charset="0"/>
                          <a:ea typeface="Cambria Math"/>
                        </a:rPr>
                      </m:ctrlPr>
                    </m:dPr>
                    <m:e>
                      <m:r>
                        <a:rPr lang="en-US" sz="1000" b="0" i="1">
                          <a:latin typeface="Cambria Math"/>
                          <a:ea typeface="Cambria Math"/>
                        </a:rPr>
                        <m:t>𝐾𝑉</m:t>
                      </m:r>
                    </m:e>
                  </m:d>
                  <m:r>
                    <a:rPr lang="en-US" sz="1000" b="0" i="1">
                      <a:latin typeface="Cambria Math"/>
                      <a:ea typeface="Cambria Math"/>
                    </a:rPr>
                    <m:t>=</m:t>
                  </m:r>
                  <m:r>
                    <a:rPr lang="en-US" sz="1000" b="0" i="1">
                      <a:latin typeface="Cambria Math"/>
                      <a:ea typeface="Cambria Math"/>
                    </a:rPr>
                    <m:t>13</m:t>
                  </m:r>
                  <m:r>
                    <a:rPr lang="en-US" sz="1000" b="0" i="1">
                      <a:latin typeface="Cambria Math"/>
                      <a:ea typeface="Cambria Math"/>
                    </a:rPr>
                    <m:t>.</m:t>
                  </m:r>
                  <m:r>
                    <a:rPr lang="en-US" sz="1000" b="0" i="1">
                      <a:latin typeface="Cambria Math"/>
                      <a:ea typeface="Cambria Math"/>
                    </a:rPr>
                    <m:t>8</m:t>
                  </m:r>
                  <m:r>
                    <a:rPr lang="en-US" sz="1000" b="0" i="1">
                      <a:latin typeface="Cambria Math"/>
                      <a:ea typeface="Cambria Math"/>
                    </a:rPr>
                    <m:t> </m:t>
                  </m:r>
                  <m:r>
                    <a:rPr lang="en-US" sz="1000" b="0" i="1">
                      <a:latin typeface="Cambria Math"/>
                      <a:ea typeface="Cambria Math"/>
                    </a:rPr>
                    <m:t>𝑘𝑉</m:t>
                  </m:r>
                </m:oMath>
              </a14:m>
              <a:endParaRPr lang="en-US" sz="1000" b="0"/>
            </a:p>
          </xdr:txBody>
        </xdr:sp>
      </mc:Choice>
      <mc:Fallback xmlns="">
        <xdr:sp macro="" textlink="">
          <xdr:nvSpPr>
            <xdr:cNvPr id="18" name="TextBox 25">
              <a:extLst>
                <a:ext uri="{FF2B5EF4-FFF2-40B4-BE49-F238E27FC236}">
                  <a16:creationId xmlns:a16="http://schemas.microsoft.com/office/drawing/2014/main" id="{E3774695-49B6-405D-B764-EFB1CCE4D1B0}"/>
                </a:ext>
              </a:extLst>
            </xdr:cNvPr>
            <xdr:cNvSpPr txBox="1"/>
          </xdr:nvSpPr>
          <xdr:spPr>
            <a:xfrm>
              <a:off x="2352792" y="39656656"/>
              <a:ext cx="5319152" cy="24553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a:t>k</a:t>
              </a:r>
              <a:r>
                <a:rPr lang="en-US" sz="1000" b="0" i="0">
                  <a:latin typeface="Cambria Math"/>
                </a:rPr>
                <a:t>𝑉</a:t>
              </a:r>
              <a:r>
                <a:rPr lang="en-US" sz="1000" b="0" i="0">
                  <a:latin typeface="Cambria Math" panose="02040503050406030204" pitchFamily="18" charset="0"/>
                </a:rPr>
                <a:t>_</a:t>
              </a:r>
              <a:r>
                <a:rPr lang="en-US" sz="1000" b="0" i="0">
                  <a:latin typeface="Cambria Math"/>
                </a:rPr>
                <a:t>𝐿𝐿𝑆𝑌𝑆</a:t>
              </a:r>
              <a:r>
                <a:rPr lang="en-US" sz="1000" b="0" i="0">
                  <a:latin typeface="Cambria Math"/>
                  <a:ea typeface="Cambria Math"/>
                </a:rPr>
                <a:t>=𝐹𝑖𝑙𝑡𝑒𝑟 𝑁𝑜𝑚𝑖𝑛𝑎𝑙 𝐿𝑖𝑛𝑒</a:t>
              </a:r>
              <a:r>
                <a:rPr lang="en-US" sz="1000" b="0" i="0">
                  <a:latin typeface="Cambria Math" panose="02040503050406030204" pitchFamily="18" charset="0"/>
                  <a:ea typeface="Cambria Math"/>
                </a:rPr>
                <a:t>−</a:t>
              </a:r>
              <a:r>
                <a:rPr lang="en-US" sz="1000" b="0" i="0">
                  <a:latin typeface="Cambria Math"/>
                  <a:ea typeface="Cambria Math"/>
                </a:rPr>
                <a:t>𝑡𝑜</a:t>
              </a:r>
              <a:r>
                <a:rPr lang="en-US" sz="1000" b="0" i="0">
                  <a:latin typeface="Cambria Math" panose="02040503050406030204" pitchFamily="18" charset="0"/>
                  <a:ea typeface="Cambria Math"/>
                </a:rPr>
                <a:t>−</a:t>
              </a:r>
              <a:r>
                <a:rPr lang="en-US" sz="1000" b="0" i="0">
                  <a:latin typeface="Cambria Math"/>
                  <a:ea typeface="Cambria Math"/>
                </a:rPr>
                <a:t>𝐿𝑖𝑛𝑒 𝑉𝑜𝑙𝑡𝑎𝑔𝑒 𝑅𝑎𝑡𝑖𝑛𝑔 </a:t>
              </a:r>
              <a:r>
                <a:rPr lang="en-US" sz="1000" b="0" i="0">
                  <a:latin typeface="Cambria Math" panose="02040503050406030204" pitchFamily="18" charset="0"/>
                  <a:ea typeface="Cambria Math"/>
                </a:rPr>
                <a:t>(</a:t>
              </a:r>
              <a:r>
                <a:rPr lang="en-US" sz="1000" b="0" i="0">
                  <a:latin typeface="Cambria Math"/>
                  <a:ea typeface="Cambria Math"/>
                </a:rPr>
                <a:t>𝐾𝑉</a:t>
              </a:r>
              <a:r>
                <a:rPr lang="en-US" sz="1000" b="0" i="0">
                  <a:latin typeface="Cambria Math" panose="02040503050406030204" pitchFamily="18" charset="0"/>
                  <a:ea typeface="Cambria Math"/>
                </a:rPr>
                <a:t>)</a:t>
              </a:r>
              <a:r>
                <a:rPr lang="en-US" sz="1000" b="0" i="0">
                  <a:latin typeface="Cambria Math"/>
                  <a:ea typeface="Cambria Math"/>
                </a:rPr>
                <a:t>=13.8 𝑘𝑉</a:t>
              </a:r>
              <a:endParaRPr lang="en-US" sz="1000" b="0"/>
            </a:p>
          </xdr:txBody>
        </xdr:sp>
      </mc:Fallback>
    </mc:AlternateContent>
    <xdr:clientData/>
  </xdr:twoCellAnchor>
  <xdr:twoCellAnchor>
    <xdr:from>
      <xdr:col>13</xdr:col>
      <xdr:colOff>9642</xdr:colOff>
      <xdr:row>174</xdr:row>
      <xdr:rowOff>84008</xdr:rowOff>
    </xdr:from>
    <xdr:to>
      <xdr:col>40</xdr:col>
      <xdr:colOff>162103</xdr:colOff>
      <xdr:row>175</xdr:row>
      <xdr:rowOff>226287</xdr:rowOff>
    </xdr:to>
    <mc:AlternateContent xmlns:mc="http://schemas.openxmlformats.org/markup-compatibility/2006" xmlns:a14="http://schemas.microsoft.com/office/drawing/2010/main">
      <mc:Choice Requires="a14">
        <xdr:sp macro="" textlink="">
          <xdr:nvSpPr>
            <xdr:cNvPr id="19" name="TextBox 12">
              <a:extLst>
                <a:ext uri="{FF2B5EF4-FFF2-40B4-BE49-F238E27FC236}">
                  <a16:creationId xmlns:a16="http://schemas.microsoft.com/office/drawing/2014/main" id="{98ED9BAD-0CBC-4354-8A90-B7714182EF36}"/>
                </a:ext>
              </a:extLst>
            </xdr:cNvPr>
            <xdr:cNvSpPr txBox="1"/>
          </xdr:nvSpPr>
          <xdr:spPr>
            <a:xfrm>
              <a:off x="2362317" y="39860408"/>
              <a:ext cx="5038786" cy="37087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𝑋</m:t>
                      </m:r>
                    </m:e>
                    <m:sub>
                      <m:r>
                        <a:rPr lang="en-US" sz="1000" b="0" i="1">
                          <a:latin typeface="Cambria Math"/>
                        </a:rPr>
                        <m:t>𝑒𝑓𝑓</m:t>
                      </m:r>
                    </m:sub>
                  </m:sSub>
                  <m:r>
                    <a:rPr lang="en-US" sz="1000" b="0" i="1">
                      <a:latin typeface="Cambria Math"/>
                      <a:ea typeface="Cambria Math"/>
                    </a:rPr>
                    <m:t>= </m:t>
                  </m:r>
                  <m:f>
                    <m:fPr>
                      <m:ctrlPr>
                        <a:rPr lang="en-US" sz="1000" b="0" i="1">
                          <a:latin typeface="Cambria Math" panose="02040503050406030204" pitchFamily="18" charset="0"/>
                          <a:ea typeface="Cambria Math"/>
                        </a:rPr>
                      </m:ctrlPr>
                    </m:fPr>
                    <m:num>
                      <m:sSup>
                        <m:sSupPr>
                          <m:ctrlPr>
                            <a:rPr lang="en-US" sz="1000" b="0" i="1">
                              <a:solidFill>
                                <a:schemeClr val="tx1"/>
                              </a:solidFill>
                              <a:effectLst/>
                              <a:latin typeface="Cambria Math" panose="02040503050406030204" pitchFamily="18" charset="0"/>
                            </a:rPr>
                          </m:ctrlPr>
                        </m:sSupPr>
                        <m:e>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𝑘𝑉</m:t>
                              </m:r>
                            </m:e>
                            <m:sub>
                              <m:r>
                                <a:rPr lang="en-US" sz="1000" b="0" i="1">
                                  <a:solidFill>
                                    <a:schemeClr val="tx1"/>
                                  </a:solidFill>
                                  <a:effectLst/>
                                  <a:latin typeface="Cambria Math"/>
                                </a:rPr>
                                <m:t>𝐿𝐿𝑆𝑌𝑆</m:t>
                              </m:r>
                            </m:sub>
                          </m:sSub>
                        </m:e>
                        <m:sup>
                          <m:r>
                            <a:rPr lang="en-US" sz="1000" b="0" i="1">
                              <a:solidFill>
                                <a:schemeClr val="tx1"/>
                              </a:solidFill>
                              <a:effectLst/>
                              <a:latin typeface="Cambria Math"/>
                            </a:rPr>
                            <m:t>2</m:t>
                          </m:r>
                        </m:sup>
                      </m:sSup>
                    </m:num>
                    <m:den>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𝑄</m:t>
                          </m:r>
                        </m:e>
                        <m:sub>
                          <m:r>
                            <a:rPr lang="en-US" sz="1000" b="0" i="1">
                              <a:solidFill>
                                <a:schemeClr val="tx1"/>
                              </a:solidFill>
                              <a:effectLst/>
                              <a:latin typeface="Cambria Math"/>
                            </a:rPr>
                            <m:t>𝑒𝑓𝑓</m:t>
                          </m:r>
                        </m:sub>
                      </m:sSub>
                    </m:den>
                  </m:f>
                </m:oMath>
              </a14:m>
              <a:r>
                <a:rPr lang="en-US" sz="1000" b="0"/>
                <a:t> (ohms) = </a:t>
              </a:r>
              <a14:m>
                <m:oMath xmlns:m="http://schemas.openxmlformats.org/officeDocument/2006/math">
                  <m:sSub>
                    <m:sSubPr>
                      <m:ctrlPr>
                        <a:rPr lang="en-US" sz="1000" i="1">
                          <a:latin typeface="Cambria Math" panose="02040503050406030204" pitchFamily="18" charset="0"/>
                          <a:ea typeface="Cambria Math"/>
                        </a:rPr>
                      </m:ctrlPr>
                    </m:sSubPr>
                    <m:e>
                      <m:r>
                        <a:rPr lang="en-US" sz="1000" b="0" i="1">
                          <a:latin typeface="Cambria Math" panose="02040503050406030204" pitchFamily="18" charset="0"/>
                          <a:ea typeface="Cambria Math"/>
                        </a:rPr>
                        <m:t>𝑋</m:t>
                      </m:r>
                    </m:e>
                    <m:sub>
                      <m:r>
                        <a:rPr lang="en-US" sz="1000" b="0" i="1">
                          <a:latin typeface="Cambria Math" panose="02040503050406030204" pitchFamily="18" charset="0"/>
                          <a:ea typeface="Cambria Math"/>
                        </a:rPr>
                        <m:t>𝐶𝑀</m:t>
                      </m:r>
                    </m:sub>
                  </m:sSub>
                  <m:r>
                    <a:rPr lang="en-US" sz="1000" i="1">
                      <a:latin typeface="Cambria Math" panose="02040503050406030204" pitchFamily="18" charset="0"/>
                      <a:ea typeface="Cambria Math" panose="02040503050406030204" pitchFamily="18" charset="0"/>
                    </a:rPr>
                    <m:t>=</m:t>
                  </m:r>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rPr>
                          </m:ctrlPr>
                        </m:sSupPr>
                        <m:e>
                          <m:r>
                            <a:rPr lang="en-US" sz="1000" b="0" i="1">
                              <a:latin typeface="Cambria Math"/>
                            </a:rPr>
                            <m:t>13</m:t>
                          </m:r>
                          <m:r>
                            <a:rPr lang="en-US" sz="1000" b="0" i="1">
                              <a:latin typeface="Cambria Math"/>
                            </a:rPr>
                            <m:t>.</m:t>
                          </m:r>
                          <m:r>
                            <a:rPr lang="en-US" sz="1000" b="0" i="1">
                              <a:latin typeface="Cambria Math"/>
                            </a:rPr>
                            <m:t>8</m:t>
                          </m:r>
                        </m:e>
                        <m:sup>
                          <m:r>
                            <a:rPr lang="en-US" sz="1000" i="1">
                              <a:latin typeface="Cambria Math"/>
                            </a:rPr>
                            <m:t>2</m:t>
                          </m:r>
                        </m:sup>
                      </m:sSup>
                    </m:num>
                    <m:den>
                      <m:r>
                        <a:rPr lang="en-US" sz="1000" b="0" i="1">
                          <a:latin typeface="Cambria Math" panose="02040503050406030204" pitchFamily="18" charset="0"/>
                        </a:rPr>
                        <m:t>1</m:t>
                      </m:r>
                      <m:r>
                        <a:rPr lang="en-US" sz="1000" b="0" i="1">
                          <a:latin typeface="Cambria Math" panose="02040503050406030204" pitchFamily="18" charset="0"/>
                        </a:rPr>
                        <m:t>.</m:t>
                      </m:r>
                      <m:r>
                        <a:rPr lang="en-US" sz="1000" b="0" i="1">
                          <a:latin typeface="Cambria Math" panose="02040503050406030204" pitchFamily="18" charset="0"/>
                        </a:rPr>
                        <m:t>0</m:t>
                      </m:r>
                      <m:r>
                        <a:rPr lang="en-US" sz="1000" i="1">
                          <a:latin typeface="Cambria Math"/>
                        </a:rPr>
                        <m:t> </m:t>
                      </m:r>
                    </m:den>
                  </m:f>
                  <m:r>
                    <a:rPr lang="en-US" sz="1000" b="0" i="1">
                      <a:latin typeface="Cambria Math"/>
                    </a:rPr>
                    <m:t>=</m:t>
                  </m:r>
                  <m:r>
                    <a:rPr lang="en-US" sz="1000" b="0" i="1">
                      <a:latin typeface="Cambria Math" panose="02040503050406030204" pitchFamily="18" charset="0"/>
                    </a:rPr>
                    <m:t>190</m:t>
                  </m:r>
                  <m:r>
                    <a:rPr lang="en-US" sz="1000" b="0" i="1">
                      <a:latin typeface="Cambria Math" panose="02040503050406030204" pitchFamily="18" charset="0"/>
                    </a:rPr>
                    <m:t>.</m:t>
                  </m:r>
                  <m:r>
                    <a:rPr lang="en-US" sz="1000" b="0" i="1">
                      <a:latin typeface="Cambria Math" panose="02040503050406030204" pitchFamily="18" charset="0"/>
                    </a:rPr>
                    <m:t>4</m:t>
                  </m:r>
                  <m:r>
                    <a:rPr lang="en-US" sz="1000" b="0" i="1">
                      <a:latin typeface="Cambria Math"/>
                    </a:rPr>
                    <m:t> (</m:t>
                  </m:r>
                  <m:r>
                    <a:rPr lang="en-US" sz="1000" b="0" i="1">
                      <a:latin typeface="Cambria Math"/>
                    </a:rPr>
                    <m:t>𝑜</m:t>
                  </m:r>
                  <m:r>
                    <a:rPr lang="en-US" sz="1000" b="0" i="1">
                      <a:latin typeface="Cambria Math"/>
                    </a:rPr>
                    <m:t>h</m:t>
                  </m:r>
                  <m:r>
                    <a:rPr lang="en-US" sz="1000" b="0" i="1">
                      <a:latin typeface="Cambria Math"/>
                    </a:rPr>
                    <m:t>𝑚𝑠</m:t>
                  </m:r>
                  <m:r>
                    <a:rPr lang="en-US" sz="1000" b="0" i="1">
                      <a:latin typeface="Cambria Math"/>
                    </a:rPr>
                    <m:t>)</m:t>
                  </m:r>
                </m:oMath>
              </a14:m>
              <a:r>
                <a:rPr lang="en-US" sz="1000" b="0"/>
                <a:t> </a:t>
              </a:r>
            </a:p>
          </xdr:txBody>
        </xdr:sp>
      </mc:Choice>
      <mc:Fallback xmlns="">
        <xdr:sp macro="" textlink="">
          <xdr:nvSpPr>
            <xdr:cNvPr id="19" name="TextBox 12">
              <a:extLst>
                <a:ext uri="{FF2B5EF4-FFF2-40B4-BE49-F238E27FC236}">
                  <a16:creationId xmlns:a16="http://schemas.microsoft.com/office/drawing/2014/main" id="{98ED9BAD-0CBC-4354-8A90-B7714182EF36}"/>
                </a:ext>
              </a:extLst>
            </xdr:cNvPr>
            <xdr:cNvSpPr txBox="1"/>
          </xdr:nvSpPr>
          <xdr:spPr>
            <a:xfrm>
              <a:off x="2362317" y="39860408"/>
              <a:ext cx="5038786" cy="37087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a:t>
              </a:r>
              <a:r>
                <a:rPr lang="en-US" sz="1000" b="0" i="0">
                  <a:latin typeface="Cambria Math"/>
                </a:rPr>
                <a:t>𝑒𝑓𝑓</a:t>
              </a:r>
              <a:r>
                <a:rPr lang="en-US" sz="1000" b="0" i="0">
                  <a:latin typeface="Cambria Math"/>
                  <a:ea typeface="Cambria Math"/>
                </a:rPr>
                <a:t>= </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𝑘𝑉</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𝐿𝐿𝑆𝑌𝑆</a:t>
              </a:r>
              <a:r>
                <a:rPr lang="en-US" sz="1000" b="0" i="0">
                  <a:solidFill>
                    <a:schemeClr val="tx1"/>
                  </a:solidFill>
                  <a:effectLst/>
                  <a:latin typeface="Cambria Math" panose="02040503050406030204" pitchFamily="18" charset="0"/>
                </a:rPr>
                <a:t>〗^</a:t>
              </a:r>
              <a:r>
                <a:rPr lang="en-US" sz="1000" b="0" i="0">
                  <a:solidFill>
                    <a:schemeClr val="tx1"/>
                  </a:solidFill>
                  <a:effectLst/>
                  <a:latin typeface="Cambria Math"/>
                </a:rPr>
                <a:t>2</a:t>
              </a:r>
              <a:r>
                <a:rPr lang="en-US" sz="1000" b="0" i="0">
                  <a:solidFill>
                    <a:schemeClr val="tx1"/>
                  </a:solidFill>
                  <a:effectLst/>
                  <a:latin typeface="Cambria Math" panose="02040503050406030204" pitchFamily="18" charset="0"/>
                  <a:ea typeface="Cambria Math"/>
                </a:rPr>
                <a:t>/</a:t>
              </a:r>
              <a:r>
                <a:rPr lang="en-US" sz="1000" b="0" i="0">
                  <a:solidFill>
                    <a:schemeClr val="tx1"/>
                  </a:solidFill>
                  <a:effectLst/>
                  <a:latin typeface="Cambria Math"/>
                </a:rPr>
                <a:t>𝑄</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𝑒𝑓𝑓</a:t>
              </a:r>
              <a:r>
                <a:rPr lang="en-US" sz="1000" b="0" i="0">
                  <a:solidFill>
                    <a:schemeClr val="tx1"/>
                  </a:solidFill>
                  <a:effectLst/>
                  <a:latin typeface="Cambria Math" panose="02040503050406030204" pitchFamily="18" charset="0"/>
                </a:rPr>
                <a:t> </a:t>
              </a:r>
              <a:r>
                <a:rPr lang="en-US" sz="1000" b="0"/>
                <a:t> (ohms) = </a:t>
              </a:r>
              <a:r>
                <a:rPr lang="en-US" sz="1000" b="0" i="0">
                  <a:latin typeface="Cambria Math" panose="02040503050406030204" pitchFamily="18" charset="0"/>
                  <a:ea typeface="Cambria Math"/>
                </a:rPr>
                <a:t>𝑋_𝐶𝑀</a:t>
              </a:r>
              <a:r>
                <a:rPr lang="en-US" sz="1000" i="0">
                  <a:latin typeface="Cambria Math" panose="02040503050406030204" pitchFamily="18" charset="0"/>
                  <a:ea typeface="Cambria Math" panose="02040503050406030204" pitchFamily="18" charset="0"/>
                </a:rPr>
                <a:t>=</a:t>
              </a:r>
              <a:r>
                <a:rPr lang="en-US" sz="1000" i="0">
                  <a:latin typeface="Cambria Math" panose="02040503050406030204" pitchFamily="18" charset="0"/>
                </a:rPr>
                <a:t>〖</a:t>
              </a:r>
              <a:r>
                <a:rPr lang="en-US" sz="1000" b="0" i="0">
                  <a:latin typeface="Cambria Math"/>
                </a:rPr>
                <a:t>13.8</a:t>
              </a:r>
              <a:r>
                <a:rPr lang="en-US" sz="1000" b="0" i="0">
                  <a:latin typeface="Cambria Math" panose="02040503050406030204" pitchFamily="18" charset="0"/>
                </a:rPr>
                <a:t>〗^</a:t>
              </a:r>
              <a:r>
                <a:rPr lang="en-US" sz="1000" i="0">
                  <a:latin typeface="Cambria Math"/>
                </a:rPr>
                <a:t>2</a:t>
              </a:r>
              <a:r>
                <a:rPr lang="en-US" sz="1000" i="0">
                  <a:latin typeface="Cambria Math" panose="02040503050406030204" pitchFamily="18" charset="0"/>
                  <a:ea typeface="Cambria Math"/>
                </a:rPr>
                <a:t>/(</a:t>
              </a:r>
              <a:r>
                <a:rPr lang="en-US" sz="1000" b="0" i="0">
                  <a:latin typeface="Cambria Math" panose="02040503050406030204" pitchFamily="18" charset="0"/>
                </a:rPr>
                <a:t>1.0</a:t>
              </a:r>
              <a:r>
                <a:rPr lang="en-US" sz="1000" i="0">
                  <a:latin typeface="Cambria Math"/>
                </a:rPr>
                <a:t> </a:t>
              </a:r>
              <a:r>
                <a:rPr lang="en-US" sz="1000" i="0">
                  <a:latin typeface="Cambria Math" panose="02040503050406030204" pitchFamily="18" charset="0"/>
                  <a:ea typeface="Cambria Math"/>
                </a:rPr>
                <a:t>)</a:t>
              </a:r>
              <a:r>
                <a:rPr lang="en-US" sz="1000" b="0" i="0">
                  <a:latin typeface="Cambria Math"/>
                </a:rPr>
                <a:t>=</a:t>
              </a:r>
              <a:r>
                <a:rPr lang="en-US" sz="1000" b="0" i="0">
                  <a:latin typeface="Cambria Math" panose="02040503050406030204" pitchFamily="18" charset="0"/>
                </a:rPr>
                <a:t>190.4</a:t>
              </a:r>
              <a:r>
                <a:rPr lang="en-US" sz="1000" b="0" i="0">
                  <a:latin typeface="Cambria Math"/>
                </a:rPr>
                <a:t> (𝑜ℎ𝑚𝑠)</a:t>
              </a:r>
              <a:r>
                <a:rPr lang="en-US" sz="1000" b="0"/>
                <a:t> </a:t>
              </a:r>
            </a:p>
          </xdr:txBody>
        </xdr:sp>
      </mc:Fallback>
    </mc:AlternateContent>
    <xdr:clientData/>
  </xdr:twoCellAnchor>
  <xdr:twoCellAnchor>
    <xdr:from>
      <xdr:col>12</xdr:col>
      <xdr:colOff>172455</xdr:colOff>
      <xdr:row>176</xdr:row>
      <xdr:rowOff>9469</xdr:rowOff>
    </xdr:from>
    <xdr:to>
      <xdr:col>36</xdr:col>
      <xdr:colOff>120033</xdr:colOff>
      <xdr:row>177</xdr:row>
      <xdr:rowOff>130196</xdr:rowOff>
    </xdr:to>
    <mc:AlternateContent xmlns:mc="http://schemas.openxmlformats.org/markup-compatibility/2006" xmlns:a14="http://schemas.microsoft.com/office/drawing/2010/main">
      <mc:Choice Requires="a14">
        <xdr:sp macro="" textlink="">
          <xdr:nvSpPr>
            <xdr:cNvPr id="20" name="TextBox 17">
              <a:extLst>
                <a:ext uri="{FF2B5EF4-FFF2-40B4-BE49-F238E27FC236}">
                  <a16:creationId xmlns:a16="http://schemas.microsoft.com/office/drawing/2014/main" id="{FD9B1955-F9E5-48B3-9E6B-54F48001D262}"/>
                </a:ext>
              </a:extLst>
            </xdr:cNvPr>
            <xdr:cNvSpPr txBox="1"/>
          </xdr:nvSpPr>
          <xdr:spPr>
            <a:xfrm>
              <a:off x="2344155" y="40243069"/>
              <a:ext cx="4290978" cy="34932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i="1">
                          <a:latin typeface="Cambria Math" panose="02040503050406030204" pitchFamily="18" charset="0"/>
                        </a:rPr>
                      </m:ctrlPr>
                    </m:sSubPr>
                    <m:e>
                      <m:r>
                        <a:rPr lang="en-US" sz="1000" b="0" i="1">
                          <a:latin typeface="Cambria Math"/>
                        </a:rPr>
                        <m:t>𝑋</m:t>
                      </m:r>
                    </m:e>
                    <m:sub>
                      <m:r>
                        <a:rPr lang="en-US" sz="1000" b="0" i="1">
                          <a:latin typeface="Cambria Math"/>
                        </a:rPr>
                        <m:t>𝐿</m:t>
                      </m:r>
                    </m:sub>
                  </m:sSub>
                  <m:r>
                    <a:rPr lang="en-US" sz="1000" i="1">
                      <a:latin typeface="Cambria Math"/>
                      <a:ea typeface="Cambria Math"/>
                    </a:rPr>
                    <m:t>=</m:t>
                  </m:r>
                  <m:f>
                    <m:fPr>
                      <m:ctrlPr>
                        <a:rPr lang="en-US" sz="1000" i="1">
                          <a:latin typeface="Cambria Math" panose="02040503050406030204" pitchFamily="18" charset="0"/>
                          <a:ea typeface="Cambria Math"/>
                        </a:rPr>
                      </m:ctrlPr>
                    </m:fPr>
                    <m:num>
                      <m:sSub>
                        <m:sSubPr>
                          <m:ctrlPr>
                            <a:rPr lang="en-US" sz="100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panose="02040503050406030204" pitchFamily="18" charset="0"/>
                              <a:ea typeface="Cambria Math"/>
                            </a:rPr>
                            <m:t>𝑒𝑓𝑓</m:t>
                          </m:r>
                        </m:sub>
                      </m:sSub>
                    </m:num>
                    <m:den>
                      <m:sSubSup>
                        <m:sSubSupPr>
                          <m:ctrlPr>
                            <a:rPr lang="en-US" sz="1000" b="0" i="1">
                              <a:latin typeface="Cambria Math" panose="02040503050406030204" pitchFamily="18" charset="0"/>
                              <a:ea typeface="Cambria Math"/>
                            </a:rPr>
                          </m:ctrlPr>
                        </m:sSubSupPr>
                        <m:e>
                          <m:r>
                            <a:rPr lang="en-US" sz="1000" b="0" i="1">
                              <a:latin typeface="Cambria Math" panose="02040503050406030204" pitchFamily="18" charset="0"/>
                              <a:ea typeface="Cambria Math"/>
                            </a:rPr>
                            <m:t>h</m:t>
                          </m:r>
                        </m:e>
                        <m:sub>
                          <m:r>
                            <a:rPr lang="en-US" sz="1000" b="0" i="1">
                              <a:latin typeface="Cambria Math" panose="02040503050406030204" pitchFamily="18" charset="0"/>
                              <a:ea typeface="Cambria Math"/>
                            </a:rPr>
                            <m:t>𝑛</m:t>
                          </m:r>
                        </m:sub>
                        <m:sup>
                          <m:r>
                            <a:rPr lang="en-US" sz="1000" b="0" i="1">
                              <a:latin typeface="Cambria Math" panose="02040503050406030204" pitchFamily="18" charset="0"/>
                              <a:ea typeface="Cambria Math"/>
                            </a:rPr>
                            <m:t>2</m:t>
                          </m:r>
                        </m:sup>
                      </m:sSubSup>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1</m:t>
                      </m:r>
                    </m:den>
                  </m:f>
                </m:oMath>
              </a14:m>
              <a:r>
                <a:rPr lang="en-US" sz="1000"/>
                <a:t> =</a:t>
              </a:r>
              <a14:m>
                <m:oMath xmlns:m="http://schemas.openxmlformats.org/officeDocument/2006/math">
                  <m:r>
                    <a:rPr lang="en-US" sz="1000" b="0" i="0">
                      <a:latin typeface="Cambria Math"/>
                      <a:ea typeface="Cambria Math"/>
                    </a:rPr>
                    <m:t> </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190</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4</m:t>
                      </m:r>
                    </m:num>
                    <m:den>
                      <m:sSup>
                        <m:sSupPr>
                          <m:ctrlPr>
                            <a:rPr lang="en-US" sz="1000" i="1">
                              <a:latin typeface="Cambria Math" panose="02040503050406030204" pitchFamily="18" charset="0"/>
                              <a:ea typeface="Cambria Math"/>
                            </a:rPr>
                          </m:ctrlPr>
                        </m:sSupPr>
                        <m:e>
                          <m:r>
                            <a:rPr lang="en-US" sz="1000" b="0" i="1">
                              <a:latin typeface="Cambria Math"/>
                              <a:ea typeface="Cambria Math"/>
                            </a:rPr>
                            <m:t>4</m:t>
                          </m:r>
                          <m:r>
                            <a:rPr lang="en-US" sz="1000" b="0" i="1">
                              <a:latin typeface="Cambria Math"/>
                              <a:ea typeface="Cambria Math"/>
                            </a:rPr>
                            <m:t>.</m:t>
                          </m:r>
                          <m:r>
                            <a:rPr lang="en-US" sz="1000" b="0" i="1">
                              <a:latin typeface="Cambria Math"/>
                              <a:ea typeface="Cambria Math"/>
                            </a:rPr>
                            <m:t>7</m:t>
                          </m:r>
                        </m:e>
                        <m:sup>
                          <m:r>
                            <a:rPr lang="en-US" sz="1000" i="1">
                              <a:latin typeface="Cambria Math"/>
                              <a:ea typeface="Cambria Math"/>
                            </a:rPr>
                            <m:t>2</m:t>
                          </m:r>
                        </m:sup>
                      </m:sSup>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1</m:t>
                      </m:r>
                    </m:den>
                  </m:f>
                  <m:r>
                    <a:rPr lang="en-US" sz="1000" b="0" i="1">
                      <a:latin typeface="Cambria Math"/>
                      <a:ea typeface="Cambria Math"/>
                    </a:rPr>
                    <m:t>=</m:t>
                  </m:r>
                  <m:r>
                    <a:rPr lang="en-US" sz="1000" b="0" i="1">
                      <a:latin typeface="Cambria Math" panose="02040503050406030204" pitchFamily="18" charset="0"/>
                      <a:ea typeface="Cambria Math"/>
                    </a:rPr>
                    <m:t>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03</m:t>
                  </m:r>
                  <m:r>
                    <a:rPr lang="en-US" sz="1000" b="0" i="1">
                      <a:latin typeface="Cambria Math"/>
                      <a:ea typeface="Cambria Math"/>
                    </a:rPr>
                    <m:t> </m:t>
                  </m:r>
                  <m:r>
                    <a:rPr lang="en-US" sz="1000" b="0" i="1">
                      <a:latin typeface="Cambria Math"/>
                      <a:ea typeface="Cambria Math"/>
                    </a:rPr>
                    <m:t>𝑜</m:t>
                  </m:r>
                  <m:r>
                    <a:rPr lang="en-US" sz="1000" b="0" i="1">
                      <a:latin typeface="Cambria Math"/>
                      <a:ea typeface="Cambria Math"/>
                    </a:rPr>
                    <m:t>h</m:t>
                  </m:r>
                  <m:r>
                    <a:rPr lang="en-US" sz="1000" b="0" i="1">
                      <a:latin typeface="Cambria Math"/>
                      <a:ea typeface="Cambria Math"/>
                    </a:rPr>
                    <m:t>𝑚𝑠</m:t>
                  </m:r>
                </m:oMath>
              </a14:m>
              <a:endParaRPr lang="en-US" sz="1000"/>
            </a:p>
          </xdr:txBody>
        </xdr:sp>
      </mc:Choice>
      <mc:Fallback xmlns="">
        <xdr:sp macro="" textlink="">
          <xdr:nvSpPr>
            <xdr:cNvPr id="20" name="TextBox 17">
              <a:extLst>
                <a:ext uri="{FF2B5EF4-FFF2-40B4-BE49-F238E27FC236}">
                  <a16:creationId xmlns:a16="http://schemas.microsoft.com/office/drawing/2014/main" id="{FD9B1955-F9E5-48B3-9E6B-54F48001D262}"/>
                </a:ext>
              </a:extLst>
            </xdr:cNvPr>
            <xdr:cNvSpPr txBox="1"/>
          </xdr:nvSpPr>
          <xdr:spPr>
            <a:xfrm>
              <a:off x="2344155" y="40243069"/>
              <a:ext cx="4290978" cy="34932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a:t>
              </a:r>
              <a:r>
                <a:rPr lang="en-US" sz="1000" b="0" i="0">
                  <a:latin typeface="Cambria Math"/>
                </a:rPr>
                <a:t>𝐿</a:t>
              </a:r>
              <a:r>
                <a:rPr lang="en-US" sz="1000" i="0">
                  <a:latin typeface="Cambria Math"/>
                  <a:ea typeface="Cambria Math"/>
                </a:rPr>
                <a:t>=</a:t>
              </a:r>
              <a:r>
                <a:rPr lang="en-US" sz="1000" b="0" i="0">
                  <a:latin typeface="Cambria Math"/>
                  <a:ea typeface="Cambria Math"/>
                </a:rPr>
                <a:t>𝑋</a:t>
              </a:r>
              <a:r>
                <a:rPr lang="en-US" sz="1000" b="0" i="0">
                  <a:latin typeface="Cambria Math" panose="02040503050406030204" pitchFamily="18" charset="0"/>
                  <a:ea typeface="Cambria Math"/>
                </a:rPr>
                <a:t>_𝑒𝑓𝑓/(ℎ_𝑛^2−1)</a:t>
              </a:r>
              <a:r>
                <a:rPr lang="en-US" sz="1000"/>
                <a:t> =</a:t>
              </a:r>
              <a:r>
                <a:rPr lang="en-US" sz="1000" b="0" i="0">
                  <a:latin typeface="Cambria Math"/>
                  <a:ea typeface="Cambria Math"/>
                </a:rPr>
                <a:t> </a:t>
              </a:r>
              <a:r>
                <a:rPr lang="en-US" sz="1000" b="0" i="0">
                  <a:latin typeface="Cambria Math" panose="02040503050406030204" pitchFamily="18" charset="0"/>
                  <a:ea typeface="Cambria Math"/>
                </a:rPr>
                <a:t> 190.4/(〖</a:t>
              </a:r>
              <a:r>
                <a:rPr lang="en-US" sz="1000" b="0" i="0">
                  <a:latin typeface="Cambria Math"/>
                  <a:ea typeface="Cambria Math"/>
                </a:rPr>
                <a:t>4.7</a:t>
              </a:r>
              <a:r>
                <a:rPr lang="en-US" sz="1000" b="0" i="0">
                  <a:latin typeface="Cambria Math" panose="02040503050406030204" pitchFamily="18" charset="0"/>
                  <a:ea typeface="Cambria Math"/>
                </a:rPr>
                <a:t>〗^</a:t>
              </a:r>
              <a:r>
                <a:rPr lang="en-US" sz="1000" i="0">
                  <a:latin typeface="Cambria Math"/>
                  <a:ea typeface="Cambria Math"/>
                </a:rPr>
                <a:t>2</a:t>
              </a:r>
              <a:r>
                <a:rPr lang="en-US" sz="1000" b="0" i="0">
                  <a:latin typeface="Cambria Math" panose="02040503050406030204" pitchFamily="18" charset="0"/>
                  <a:ea typeface="Cambria Math"/>
                </a:rPr>
                <a:t>−1)</a:t>
              </a:r>
              <a:r>
                <a:rPr lang="en-US" sz="1000" b="0" i="0">
                  <a:latin typeface="Cambria Math"/>
                  <a:ea typeface="Cambria Math"/>
                </a:rPr>
                <a:t>=</a:t>
              </a:r>
              <a:r>
                <a:rPr lang="en-US" sz="1000" b="0" i="0">
                  <a:latin typeface="Cambria Math" panose="02040503050406030204" pitchFamily="18" charset="0"/>
                  <a:ea typeface="Cambria Math"/>
                </a:rPr>
                <a:t>9.03</a:t>
              </a:r>
              <a:r>
                <a:rPr lang="en-US" sz="1000" b="0" i="0">
                  <a:latin typeface="Cambria Math"/>
                  <a:ea typeface="Cambria Math"/>
                </a:rPr>
                <a:t> 𝑜ℎ𝑚𝑠</a:t>
              </a:r>
              <a:endParaRPr lang="en-US" sz="1000"/>
            </a:p>
          </xdr:txBody>
        </xdr:sp>
      </mc:Fallback>
    </mc:AlternateContent>
    <xdr:clientData/>
  </xdr:twoCellAnchor>
  <xdr:twoCellAnchor>
    <xdr:from>
      <xdr:col>12</xdr:col>
      <xdr:colOff>145122</xdr:colOff>
      <xdr:row>177</xdr:row>
      <xdr:rowOff>224223</xdr:rowOff>
    </xdr:from>
    <xdr:to>
      <xdr:col>22</xdr:col>
      <xdr:colOff>131676</xdr:colOff>
      <xdr:row>179</xdr:row>
      <xdr:rowOff>9840</xdr:rowOff>
    </xdr:to>
    <mc:AlternateContent xmlns:mc="http://schemas.openxmlformats.org/markup-compatibility/2006" xmlns:a14="http://schemas.microsoft.com/office/drawing/2010/main">
      <mc:Choice Requires="a14">
        <xdr:sp macro="" textlink="">
          <xdr:nvSpPr>
            <xdr:cNvPr id="21" name="TextBox 17">
              <a:extLst>
                <a:ext uri="{FF2B5EF4-FFF2-40B4-BE49-F238E27FC236}">
                  <a16:creationId xmlns:a16="http://schemas.microsoft.com/office/drawing/2014/main" id="{1ACDD89F-3309-49D2-9FD6-E654677A116E}"/>
                </a:ext>
              </a:extLst>
            </xdr:cNvPr>
            <xdr:cNvSpPr txBox="1"/>
          </xdr:nvSpPr>
          <xdr:spPr>
            <a:xfrm>
              <a:off x="2316822" y="40686423"/>
              <a:ext cx="1796304" cy="24281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i="1">
                          <a:latin typeface="Cambria Math" panose="02040503050406030204" pitchFamily="18" charset="0"/>
                        </a:rPr>
                      </m:ctrlPr>
                    </m:sSubPr>
                    <m:e>
                      <m:r>
                        <a:rPr lang="en-US" sz="1000" b="0" i="1">
                          <a:latin typeface="Cambria Math"/>
                        </a:rPr>
                        <m:t>𝑋</m:t>
                      </m:r>
                    </m:e>
                    <m:sub>
                      <m:r>
                        <a:rPr lang="en-US" sz="1000" b="0" i="1">
                          <a:latin typeface="Cambria Math" panose="02040503050406030204" pitchFamily="18" charset="0"/>
                        </a:rPr>
                        <m:t>𝐶𝐴</m:t>
                      </m:r>
                    </m:sub>
                  </m:sSub>
                  <m:r>
                    <a:rPr lang="en-US" sz="1000" i="1">
                      <a:latin typeface="Cambria Math"/>
                      <a:ea typeface="Cambria Math"/>
                    </a:rPr>
                    <m:t>=</m:t>
                  </m:r>
                  <m:sSub>
                    <m:sSubPr>
                      <m:ctrlPr>
                        <a:rPr lang="en-US" sz="1000" i="1">
                          <a:latin typeface="Cambria Math" panose="02040503050406030204" pitchFamily="18" charset="0"/>
                          <a:ea typeface="Cambria Math"/>
                        </a:rPr>
                      </m:ctrlPr>
                    </m:sSubPr>
                    <m:e>
                      <m:r>
                        <a:rPr lang="en-US" sz="1000" b="0" i="1">
                          <a:latin typeface="Cambria Math" panose="02040503050406030204" pitchFamily="18" charset="0"/>
                          <a:ea typeface="Cambria Math"/>
                        </a:rPr>
                        <m:t>𝑋</m:t>
                      </m:r>
                    </m:e>
                    <m:sub>
                      <m:r>
                        <a:rPr lang="en-US" sz="1000" b="0" i="1">
                          <a:latin typeface="Cambria Math" panose="02040503050406030204" pitchFamily="18" charset="0"/>
                          <a:ea typeface="Cambria Math"/>
                        </a:rPr>
                        <m:t>𝐿</m:t>
                      </m:r>
                    </m:sub>
                  </m:sSub>
                </m:oMath>
              </a14:m>
              <a:r>
                <a:rPr lang="en-US" sz="1000"/>
                <a:t> =</a:t>
              </a:r>
              <a14:m>
                <m:oMath xmlns:m="http://schemas.openxmlformats.org/officeDocument/2006/math">
                  <m:r>
                    <a:rPr lang="en-US" sz="1000" b="0" i="0">
                      <a:latin typeface="Cambria Math"/>
                      <a:ea typeface="Cambria Math"/>
                    </a:rPr>
                    <m:t> </m:t>
                  </m:r>
                  <m:r>
                    <a:rPr lang="en-US" sz="1000" b="0" i="1">
                      <a:latin typeface="Cambria Math" panose="02040503050406030204" pitchFamily="18" charset="0"/>
                      <a:ea typeface="Cambria Math"/>
                    </a:rPr>
                    <m:t>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03</m:t>
                  </m:r>
                  <m:r>
                    <a:rPr lang="en-US" sz="1000" b="0" i="1">
                      <a:latin typeface="Cambria Math"/>
                      <a:ea typeface="Cambria Math"/>
                    </a:rPr>
                    <m:t> </m:t>
                  </m:r>
                  <m:r>
                    <a:rPr lang="en-US" sz="1000" b="0" i="1">
                      <a:latin typeface="Cambria Math"/>
                      <a:ea typeface="Cambria Math"/>
                    </a:rPr>
                    <m:t>𝑜</m:t>
                  </m:r>
                  <m:r>
                    <a:rPr lang="en-US" sz="1000" b="0" i="1">
                      <a:latin typeface="Cambria Math"/>
                      <a:ea typeface="Cambria Math"/>
                    </a:rPr>
                    <m:t>h</m:t>
                  </m:r>
                  <m:r>
                    <a:rPr lang="en-US" sz="1000" b="0" i="1">
                      <a:latin typeface="Cambria Math"/>
                      <a:ea typeface="Cambria Math"/>
                    </a:rPr>
                    <m:t>𝑚𝑠</m:t>
                  </m:r>
                </m:oMath>
              </a14:m>
              <a:endParaRPr lang="en-US" sz="1000"/>
            </a:p>
          </xdr:txBody>
        </xdr:sp>
      </mc:Choice>
      <mc:Fallback xmlns="">
        <xdr:sp macro="" textlink="">
          <xdr:nvSpPr>
            <xdr:cNvPr id="21" name="TextBox 17">
              <a:extLst>
                <a:ext uri="{FF2B5EF4-FFF2-40B4-BE49-F238E27FC236}">
                  <a16:creationId xmlns:a16="http://schemas.microsoft.com/office/drawing/2014/main" id="{1ACDD89F-3309-49D2-9FD6-E654677A116E}"/>
                </a:ext>
              </a:extLst>
            </xdr:cNvPr>
            <xdr:cNvSpPr txBox="1"/>
          </xdr:nvSpPr>
          <xdr:spPr>
            <a:xfrm>
              <a:off x="2316822" y="40686423"/>
              <a:ext cx="1796304" cy="24281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𝑋</a:t>
              </a:r>
              <a:r>
                <a:rPr lang="en-US" sz="1000" b="0" i="0">
                  <a:latin typeface="Cambria Math" panose="02040503050406030204" pitchFamily="18" charset="0"/>
                </a:rPr>
                <a:t>_𝐶𝐴</a:t>
              </a:r>
              <a:r>
                <a:rPr lang="en-US" sz="1000" i="0">
                  <a:latin typeface="Cambria Math"/>
                  <a:ea typeface="Cambria Math"/>
                </a:rPr>
                <a:t>=</a:t>
              </a:r>
              <a:r>
                <a:rPr lang="en-US" sz="1000" b="0" i="0">
                  <a:latin typeface="Cambria Math" panose="02040503050406030204" pitchFamily="18" charset="0"/>
                  <a:ea typeface="Cambria Math"/>
                </a:rPr>
                <a:t>𝑋_𝐿</a:t>
              </a:r>
              <a:r>
                <a:rPr lang="en-US" sz="1000"/>
                <a:t> =</a:t>
              </a:r>
              <a:r>
                <a:rPr lang="en-US" sz="1000" b="0" i="0">
                  <a:latin typeface="Cambria Math"/>
                  <a:ea typeface="Cambria Math"/>
                </a:rPr>
                <a:t> </a:t>
              </a:r>
              <a:r>
                <a:rPr lang="en-US" sz="1000" b="0" i="0">
                  <a:latin typeface="Cambria Math" panose="02040503050406030204" pitchFamily="18" charset="0"/>
                  <a:ea typeface="Cambria Math"/>
                </a:rPr>
                <a:t>9.03</a:t>
              </a:r>
              <a:r>
                <a:rPr lang="en-US" sz="1000" b="0" i="0">
                  <a:latin typeface="Cambria Math"/>
                  <a:ea typeface="Cambria Math"/>
                </a:rPr>
                <a:t> 𝑜ℎ𝑚𝑠</a:t>
              </a:r>
              <a:endParaRPr lang="en-US" sz="1000"/>
            </a:p>
          </xdr:txBody>
        </xdr:sp>
      </mc:Fallback>
    </mc:AlternateContent>
    <xdr:clientData/>
  </xdr:twoCellAnchor>
  <xdr:twoCellAnchor>
    <xdr:from>
      <xdr:col>12</xdr:col>
      <xdr:colOff>168726</xdr:colOff>
      <xdr:row>179</xdr:row>
      <xdr:rowOff>125422</xdr:rowOff>
    </xdr:from>
    <xdr:to>
      <xdr:col>36</xdr:col>
      <xdr:colOff>62710</xdr:colOff>
      <xdr:row>180</xdr:row>
      <xdr:rowOff>221148</xdr:rowOff>
    </xdr:to>
    <mc:AlternateContent xmlns:mc="http://schemas.openxmlformats.org/markup-compatibility/2006" xmlns:a14="http://schemas.microsoft.com/office/drawing/2010/main">
      <mc:Choice Requires="a14">
        <xdr:sp macro="" textlink="">
          <xdr:nvSpPr>
            <xdr:cNvPr id="22" name="TextBox 2">
              <a:extLst>
                <a:ext uri="{FF2B5EF4-FFF2-40B4-BE49-F238E27FC236}">
                  <a16:creationId xmlns:a16="http://schemas.microsoft.com/office/drawing/2014/main" id="{FED3CA65-F0F3-4413-8720-AA85B2B7362F}"/>
                </a:ext>
              </a:extLst>
            </xdr:cNvPr>
            <xdr:cNvSpPr txBox="1"/>
          </xdr:nvSpPr>
          <xdr:spPr>
            <a:xfrm>
              <a:off x="2340426" y="41044822"/>
              <a:ext cx="4237384" cy="32432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r>
                    <a:rPr lang="en-US" sz="1000" b="0" i="1">
                      <a:latin typeface="Cambria Math"/>
                    </a:rPr>
                    <m:t>𝐻</m:t>
                  </m:r>
                  <m:d>
                    <m:dPr>
                      <m:ctrlPr>
                        <a:rPr lang="en-US" sz="1000" b="0" i="1">
                          <a:latin typeface="Cambria Math" panose="02040503050406030204" pitchFamily="18" charset="0"/>
                        </a:rPr>
                      </m:ctrlPr>
                    </m:dPr>
                    <m:e>
                      <m:r>
                        <a:rPr lang="en-US" sz="1000" b="0" i="1">
                          <a:latin typeface="Cambria Math"/>
                        </a:rPr>
                        <m:t>𝑖𝑛𝑑𝑢𝑐𝑡𝑎𝑛𝑐𝑒</m:t>
                      </m:r>
                    </m:e>
                  </m:d>
                  <m:r>
                    <a:rPr lang="en-US" sz="1000" b="0" i="1">
                      <a:latin typeface="Cambria Math"/>
                      <a:ea typeface="Cambria Math"/>
                    </a:rPr>
                    <m:t>=</m:t>
                  </m:r>
                  <m:f>
                    <m:fPr>
                      <m:ctrlPr>
                        <a:rPr lang="en-US" sz="1000" b="0" i="1">
                          <a:latin typeface="Cambria Math" panose="02040503050406030204" pitchFamily="18" charset="0"/>
                          <a:ea typeface="Cambria Math"/>
                        </a:rPr>
                      </m:ctrlPr>
                    </m:fPr>
                    <m:num>
                      <m:sSub>
                        <m:sSubPr>
                          <m:ctrlPr>
                            <a:rPr lang="en-US" sz="1000" b="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𝐿</m:t>
                          </m:r>
                        </m:sub>
                      </m:sSub>
                    </m:num>
                    <m:den>
                      <m:r>
                        <a:rPr lang="en-US" sz="1000" b="0" i="1">
                          <a:latin typeface="Cambria Math"/>
                          <a:ea typeface="Cambria Math"/>
                        </a:rPr>
                        <m:t>2</m:t>
                      </m:r>
                      <m:r>
                        <a:rPr lang="en-US" sz="1000" b="0" i="1">
                          <a:latin typeface="Cambria Math"/>
                          <a:ea typeface="Cambria Math"/>
                        </a:rPr>
                        <m:t>𝜋</m:t>
                      </m:r>
                      <m:r>
                        <a:rPr lang="en-US" sz="1000" b="0" i="1">
                          <a:latin typeface="Cambria Math"/>
                          <a:ea typeface="Cambria Math"/>
                        </a:rPr>
                        <m:t>𝑓</m:t>
                      </m:r>
                    </m:den>
                  </m:f>
                  <m:r>
                    <a:rPr lang="en-US" sz="1000" b="0" i="1">
                      <a:latin typeface="Cambria Math"/>
                      <a:ea typeface="Cambria Math"/>
                    </a:rPr>
                    <m:t>×</m:t>
                  </m:r>
                  <m:r>
                    <a:rPr lang="en-US" sz="1000" b="0" i="1">
                      <a:latin typeface="Cambria Math"/>
                      <a:ea typeface="Cambria Math"/>
                    </a:rPr>
                    <m:t>1000</m:t>
                  </m:r>
                  <m:d>
                    <m:dPr>
                      <m:ctrlPr>
                        <a:rPr lang="en-US" sz="1000" b="0" i="1">
                          <a:latin typeface="Cambria Math" panose="02040503050406030204" pitchFamily="18" charset="0"/>
                          <a:ea typeface="Cambria Math"/>
                        </a:rPr>
                      </m:ctrlPr>
                    </m:dPr>
                    <m:e>
                      <m:r>
                        <a:rPr lang="en-US" sz="1000" b="0" i="1">
                          <a:latin typeface="Cambria Math"/>
                          <a:ea typeface="Cambria Math"/>
                        </a:rPr>
                        <m:t>𝑚𝐻</m:t>
                      </m:r>
                    </m:e>
                  </m:d>
                  <m:r>
                    <a:rPr lang="en-US" sz="1000" b="0" i="1">
                      <a:latin typeface="Cambria Math"/>
                      <a:ea typeface="Cambria Math"/>
                    </a:rPr>
                    <m:t>=</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9</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03</m:t>
                      </m:r>
                    </m:num>
                    <m:den>
                      <m:r>
                        <a:rPr lang="en-US" sz="1000" i="1">
                          <a:latin typeface="Cambria Math"/>
                          <a:ea typeface="Cambria Math"/>
                        </a:rPr>
                        <m:t>2</m:t>
                      </m:r>
                      <m:r>
                        <a:rPr lang="en-US" sz="1000" i="1">
                          <a:latin typeface="Cambria Math"/>
                          <a:ea typeface="Cambria Math"/>
                        </a:rPr>
                        <m:t>𝜋</m:t>
                      </m:r>
                      <m:r>
                        <a:rPr lang="en-US" sz="1000" b="0" i="1">
                          <a:latin typeface="Cambria Math"/>
                          <a:ea typeface="Cambria Math"/>
                        </a:rPr>
                        <m:t> </m:t>
                      </m:r>
                      <m:r>
                        <a:rPr lang="en-US" sz="1000" b="0" i="1">
                          <a:latin typeface="Cambria Math"/>
                          <a:ea typeface="Cambria Math"/>
                        </a:rPr>
                        <m:t>60</m:t>
                      </m:r>
                    </m:den>
                  </m:f>
                  <m:r>
                    <a:rPr lang="en-US" sz="1000" i="1">
                      <a:latin typeface="Cambria Math"/>
                      <a:ea typeface="Cambria Math"/>
                    </a:rPr>
                    <m:t>×</m:t>
                  </m:r>
                  <m:r>
                    <a:rPr lang="en-US" sz="1000" i="1">
                      <a:latin typeface="Cambria Math"/>
                      <a:ea typeface="Cambria Math"/>
                    </a:rPr>
                    <m:t>1000</m:t>
                  </m:r>
                  <m:d>
                    <m:dPr>
                      <m:ctrlPr>
                        <a:rPr lang="en-US" sz="1000" i="1">
                          <a:latin typeface="Cambria Math" panose="02040503050406030204" pitchFamily="18" charset="0"/>
                          <a:ea typeface="Cambria Math"/>
                        </a:rPr>
                      </m:ctrlPr>
                    </m:dPr>
                    <m:e>
                      <m:r>
                        <a:rPr lang="en-US" sz="1000" i="1">
                          <a:latin typeface="Cambria Math"/>
                          <a:ea typeface="Cambria Math"/>
                        </a:rPr>
                        <m:t>𝑚𝐻</m:t>
                      </m:r>
                    </m:e>
                  </m:d>
                </m:oMath>
              </a14:m>
              <a:r>
                <a:rPr lang="en-US" sz="1000"/>
                <a:t>= 23.95 mH</a:t>
              </a:r>
            </a:p>
          </xdr:txBody>
        </xdr:sp>
      </mc:Choice>
      <mc:Fallback xmlns="">
        <xdr:sp macro="" textlink="">
          <xdr:nvSpPr>
            <xdr:cNvPr id="22" name="TextBox 2">
              <a:extLst>
                <a:ext uri="{FF2B5EF4-FFF2-40B4-BE49-F238E27FC236}">
                  <a16:creationId xmlns:a16="http://schemas.microsoft.com/office/drawing/2014/main" id="{FED3CA65-F0F3-4413-8720-AA85B2B7362F}"/>
                </a:ext>
              </a:extLst>
            </xdr:cNvPr>
            <xdr:cNvSpPr txBox="1"/>
          </xdr:nvSpPr>
          <xdr:spPr>
            <a:xfrm>
              <a:off x="2340426" y="41044822"/>
              <a:ext cx="4237384" cy="32432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𝐻</a:t>
              </a:r>
              <a:r>
                <a:rPr lang="en-US" sz="1000" b="0" i="0">
                  <a:latin typeface="Cambria Math" panose="02040503050406030204" pitchFamily="18" charset="0"/>
                </a:rPr>
                <a:t>(</a:t>
              </a:r>
              <a:r>
                <a:rPr lang="en-US" sz="1000" b="0" i="0">
                  <a:latin typeface="Cambria Math"/>
                </a:rPr>
                <a:t>𝑖𝑛𝑑𝑢𝑐𝑡𝑎𝑛𝑐𝑒</a:t>
              </a:r>
              <a:r>
                <a:rPr lang="en-US" sz="1000" b="0" i="0">
                  <a:latin typeface="Cambria Math" panose="02040503050406030204" pitchFamily="18" charset="0"/>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𝐿</a:t>
              </a:r>
              <a:r>
                <a:rPr lang="en-US" sz="1000" b="0" i="0">
                  <a:latin typeface="Cambria Math" panose="02040503050406030204" pitchFamily="18" charset="0"/>
                  <a:ea typeface="Cambria Math"/>
                </a:rPr>
                <a:t>/</a:t>
              </a:r>
              <a:r>
                <a:rPr lang="en-US" sz="1000" b="0" i="0">
                  <a:latin typeface="Cambria Math"/>
                  <a:ea typeface="Cambria Math"/>
                </a:rPr>
                <a:t>2𝜋𝑓×1000</a:t>
              </a:r>
              <a:r>
                <a:rPr lang="en-US" sz="1000" b="0" i="0">
                  <a:latin typeface="Cambria Math" panose="02040503050406030204" pitchFamily="18" charset="0"/>
                  <a:ea typeface="Cambria Math"/>
                </a:rPr>
                <a:t>(</a:t>
              </a:r>
              <a:r>
                <a:rPr lang="en-US" sz="1000" b="0" i="0">
                  <a:latin typeface="Cambria Math"/>
                  <a:ea typeface="Cambria Math"/>
                </a:rPr>
                <a:t>𝑚𝐻</a:t>
              </a:r>
              <a:r>
                <a:rPr lang="en-US" sz="1000" b="0" i="0">
                  <a:latin typeface="Cambria Math" panose="02040503050406030204" pitchFamily="18" charset="0"/>
                  <a:ea typeface="Cambria Math"/>
                </a:rPr>
                <a:t>)</a:t>
              </a:r>
              <a:r>
                <a:rPr lang="en-US" sz="1000" b="0" i="0">
                  <a:latin typeface="Cambria Math"/>
                  <a:ea typeface="Cambria Math"/>
                </a:rPr>
                <a:t>=</a:t>
              </a:r>
              <a:r>
                <a:rPr lang="en-US" sz="1000" b="0" i="0">
                  <a:latin typeface="Cambria Math" panose="02040503050406030204" pitchFamily="18" charset="0"/>
                  <a:ea typeface="Cambria Math"/>
                </a:rPr>
                <a:t>9.03/(</a:t>
              </a:r>
              <a:r>
                <a:rPr lang="en-US" sz="1000" i="0">
                  <a:latin typeface="Cambria Math"/>
                  <a:ea typeface="Cambria Math"/>
                </a:rPr>
                <a:t>2𝜋</a:t>
              </a:r>
              <a:r>
                <a:rPr lang="en-US" sz="1000" b="0" i="0">
                  <a:latin typeface="Cambria Math"/>
                  <a:ea typeface="Cambria Math"/>
                </a:rPr>
                <a:t> 60</a:t>
              </a:r>
              <a:r>
                <a:rPr lang="en-US" sz="1000" b="0" i="0">
                  <a:latin typeface="Cambria Math" panose="02040503050406030204" pitchFamily="18" charset="0"/>
                  <a:ea typeface="Cambria Math"/>
                </a:rPr>
                <a:t>)</a:t>
              </a:r>
              <a:r>
                <a:rPr lang="en-US" sz="1000" i="0">
                  <a:latin typeface="Cambria Math"/>
                  <a:ea typeface="Cambria Math"/>
                </a:rPr>
                <a:t>×1000</a:t>
              </a:r>
              <a:r>
                <a:rPr lang="en-US" sz="1000" i="0">
                  <a:latin typeface="Cambria Math" panose="02040503050406030204" pitchFamily="18" charset="0"/>
                  <a:ea typeface="Cambria Math"/>
                </a:rPr>
                <a:t>(</a:t>
              </a:r>
              <a:r>
                <a:rPr lang="en-US" sz="1000" i="0">
                  <a:latin typeface="Cambria Math"/>
                  <a:ea typeface="Cambria Math"/>
                </a:rPr>
                <a:t>𝑚𝐻</a:t>
              </a:r>
              <a:r>
                <a:rPr lang="en-US" sz="1000" i="0">
                  <a:latin typeface="Cambria Math" panose="02040503050406030204" pitchFamily="18" charset="0"/>
                  <a:ea typeface="Cambria Math"/>
                </a:rPr>
                <a:t>)</a:t>
              </a:r>
              <a:r>
                <a:rPr lang="en-US" sz="1000"/>
                <a:t>= 23.95 mH</a:t>
              </a:r>
            </a:p>
          </xdr:txBody>
        </xdr:sp>
      </mc:Fallback>
    </mc:AlternateContent>
    <xdr:clientData/>
  </xdr:twoCellAnchor>
  <xdr:twoCellAnchor>
    <xdr:from>
      <xdr:col>12</xdr:col>
      <xdr:colOff>150918</xdr:colOff>
      <xdr:row>180</xdr:row>
      <xdr:rowOff>218010</xdr:rowOff>
    </xdr:from>
    <xdr:to>
      <xdr:col>40</xdr:col>
      <xdr:colOff>112405</xdr:colOff>
      <xdr:row>182</xdr:row>
      <xdr:rowOff>181480</xdr:rowOff>
    </xdr:to>
    <mc:AlternateContent xmlns:mc="http://schemas.openxmlformats.org/markup-compatibility/2006" xmlns:a14="http://schemas.microsoft.com/office/drawing/2010/main">
      <mc:Choice Requires="a14">
        <xdr:sp macro="" textlink="">
          <xdr:nvSpPr>
            <xdr:cNvPr id="23" name="TextBox 3">
              <a:extLst>
                <a:ext uri="{FF2B5EF4-FFF2-40B4-BE49-F238E27FC236}">
                  <a16:creationId xmlns:a16="http://schemas.microsoft.com/office/drawing/2014/main" id="{D1E503C5-8FD9-4B78-9B49-4A29F897E33F}"/>
                </a:ext>
              </a:extLst>
            </xdr:cNvPr>
            <xdr:cNvSpPr txBox="1"/>
          </xdr:nvSpPr>
          <xdr:spPr>
            <a:xfrm>
              <a:off x="2322618" y="41366010"/>
              <a:ext cx="5028787" cy="42067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b="0" i="1">
                            <a:latin typeface="Cambria Math" panose="02040503050406030204" pitchFamily="18" charset="0"/>
                          </a:rPr>
                        </m:ctrlPr>
                      </m:sSubPr>
                      <m:e>
                        <m:sSub>
                          <m:sSubPr>
                            <m:ctrlPr>
                              <a:rPr lang="en-US" sz="1000" b="0" i="1">
                                <a:latin typeface="Cambria Math" panose="02040503050406030204" pitchFamily="18" charset="0"/>
                              </a:rPr>
                            </m:ctrlPr>
                          </m:sSubPr>
                          <m:e>
                            <m:r>
                              <a:rPr lang="en-US" sz="1000" b="0" i="1">
                                <a:latin typeface="Cambria Math"/>
                              </a:rPr>
                              <m:t>𝑄</m:t>
                            </m:r>
                          </m:e>
                          <m:sub>
                            <m:r>
                              <a:rPr lang="en-US" sz="1000" b="0" i="1">
                                <a:latin typeface="Cambria Math" panose="02040503050406030204" pitchFamily="18" charset="0"/>
                              </a:rPr>
                              <m:t>𝐶𝐴</m:t>
                            </m:r>
                            <m:r>
                              <a:rPr lang="en-US" sz="1000" b="0" i="1">
                                <a:latin typeface="Cambria Math" panose="02040503050406030204" pitchFamily="18" charset="0"/>
                              </a:rPr>
                              <m:t> </m:t>
                            </m:r>
                            <m:r>
                              <a:rPr lang="en-US" sz="1000" b="0" i="1">
                                <a:latin typeface="Cambria Math"/>
                              </a:rPr>
                              <m:t>𝑅𝐴𝑇𝐸𝐷</m:t>
                            </m:r>
                            <m:r>
                              <a:rPr lang="en-US" sz="1000" b="0" i="1">
                                <a:latin typeface="Cambria Math"/>
                              </a:rPr>
                              <m:t> </m:t>
                            </m:r>
                            <m:r>
                              <a:rPr lang="en-US" sz="1000" b="0" i="1">
                                <a:latin typeface="Cambria Math"/>
                              </a:rPr>
                              <m:t>𝑃𝐸𝑅</m:t>
                            </m:r>
                            <m:r>
                              <a:rPr lang="en-US" sz="1000" b="0" i="1">
                                <a:latin typeface="Cambria Math"/>
                              </a:rPr>
                              <m:t> </m:t>
                            </m:r>
                            <m:r>
                              <a:rPr lang="en-US" sz="1000" b="0" i="1">
                                <a:latin typeface="Cambria Math"/>
                              </a:rPr>
                              <m:t>𝑃𝐻𝐴𝑆𝐸</m:t>
                            </m:r>
                            <m:r>
                              <a:rPr lang="en-US" sz="1000" b="0" i="1">
                                <a:latin typeface="Cambria Math"/>
                              </a:rPr>
                              <m:t> (</m:t>
                            </m:r>
                            <m:r>
                              <a:rPr lang="en-US" sz="1000" b="0" i="1">
                                <a:latin typeface="Cambria Math" panose="02040503050406030204" pitchFamily="18" charset="0"/>
                              </a:rPr>
                              <m:t>𝑀𝑉𝐴𝑅</m:t>
                            </m:r>
                            <m:r>
                              <a:rPr lang="en-US" sz="1000" b="0" i="1">
                                <a:latin typeface="Cambria Math"/>
                              </a:rPr>
                              <m:t>)</m:t>
                            </m:r>
                          </m:sub>
                        </m:sSub>
                        <m:r>
                          <a:rPr lang="en-US" sz="1000" b="0" i="1">
                            <a:latin typeface="Cambria Math"/>
                          </a:rPr>
                          <m:t> </m:t>
                        </m:r>
                        <m:r>
                          <a:rPr lang="en-US" sz="1000" b="0" i="1">
                            <a:latin typeface="Cambria Math"/>
                            <a:ea typeface="Cambria Math"/>
                          </a:rPr>
                          <m:t>=</m:t>
                        </m:r>
                        <m:f>
                          <m:fPr>
                            <m:ctrlPr>
                              <a:rPr lang="en-US" sz="1000" b="0" i="1">
                                <a:latin typeface="Cambria Math" panose="02040503050406030204" pitchFamily="18" charset="0"/>
                                <a:ea typeface="Cambria Math"/>
                              </a:rPr>
                            </m:ctrlPr>
                          </m:fPr>
                          <m:num>
                            <m:sSup>
                              <m:sSupPr>
                                <m:ctrlPr>
                                  <a:rPr lang="en-US" sz="1000" b="0" i="1">
                                    <a:solidFill>
                                      <a:schemeClr val="tx1"/>
                                    </a:solidFill>
                                    <a:effectLst/>
                                    <a:latin typeface="Cambria Math" panose="02040503050406030204" pitchFamily="18" charset="0"/>
                                  </a:rPr>
                                </m:ctrlPr>
                              </m:sSupPr>
                              <m:e>
                                <m:d>
                                  <m:dPr>
                                    <m:ctrlPr>
                                      <a:rPr lang="en-US" sz="1000" b="0" i="1">
                                        <a:solidFill>
                                          <a:schemeClr val="tx1"/>
                                        </a:solidFill>
                                        <a:effectLst/>
                                        <a:latin typeface="Cambria Math" panose="02040503050406030204" pitchFamily="18" charset="0"/>
                                      </a:rPr>
                                    </m:ctrlPr>
                                  </m:dPr>
                                  <m:e>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𝑉</m:t>
                                        </m:r>
                                      </m:e>
                                      <m:sub>
                                        <m:r>
                                          <a:rPr lang="en-US" sz="1000" b="0" i="1">
                                            <a:solidFill>
                                              <a:schemeClr val="tx1"/>
                                            </a:solidFill>
                                            <a:effectLst/>
                                            <a:latin typeface="Cambria Math"/>
                                          </a:rPr>
                                          <m:t>𝐶𝐴𝑃</m:t>
                                        </m:r>
                                        <m:r>
                                          <a:rPr lang="en-US" sz="1000" b="0" i="1">
                                            <a:solidFill>
                                              <a:schemeClr val="tx1"/>
                                            </a:solidFill>
                                            <a:effectLst/>
                                            <a:latin typeface="Cambria Math"/>
                                          </a:rPr>
                                          <m:t> </m:t>
                                        </m:r>
                                        <m:r>
                                          <a:rPr lang="en-US" sz="1000" b="0" i="1">
                                            <a:solidFill>
                                              <a:schemeClr val="tx1"/>
                                            </a:solidFill>
                                            <a:effectLst/>
                                            <a:latin typeface="Cambria Math"/>
                                          </a:rPr>
                                          <m:t>𝑅𝐴𝑇𝐼𝑁𝐺</m:t>
                                        </m:r>
                                      </m:sub>
                                    </m:sSub>
                                  </m:e>
                                </m:d>
                              </m:e>
                              <m:sup>
                                <m:r>
                                  <a:rPr lang="en-US" sz="1000" b="0" i="1">
                                    <a:solidFill>
                                      <a:schemeClr val="tx1"/>
                                    </a:solidFill>
                                    <a:effectLst/>
                                    <a:latin typeface="Cambria Math"/>
                                  </a:rPr>
                                  <m:t>2</m:t>
                                </m:r>
                              </m:sup>
                            </m:sSup>
                          </m:num>
                          <m:den>
                            <m:sSub>
                              <m:sSubPr>
                                <m:ctrlPr>
                                  <a:rPr lang="en-US" sz="1000" b="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𝐶</m:t>
                                </m:r>
                                <m:r>
                                  <a:rPr lang="en-US" sz="1000" b="0" i="1">
                                    <a:latin typeface="Cambria Math" panose="02040503050406030204" pitchFamily="18" charset="0"/>
                                    <a:ea typeface="Cambria Math"/>
                                  </a:rPr>
                                  <m:t>𝐴</m:t>
                                </m:r>
                              </m:sub>
                            </m:sSub>
                          </m:den>
                        </m:f>
                        <m:r>
                          <a:rPr lang="en-US" sz="1000" b="0" i="1">
                            <a:latin typeface="Cambria Math"/>
                            <a:ea typeface="Cambria Math"/>
                          </a:rPr>
                          <m:t>=</m:t>
                        </m:r>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rPr>
                                </m:ctrlPr>
                              </m:sSupPr>
                              <m:e>
                                <m:d>
                                  <m:dPr>
                                    <m:ctrlPr>
                                      <a:rPr lang="en-US" sz="1000" i="1">
                                        <a:latin typeface="Cambria Math" panose="02040503050406030204" pitchFamily="18" charset="0"/>
                                      </a:rPr>
                                    </m:ctrlPr>
                                  </m:dPr>
                                  <m:e>
                                    <m:r>
                                      <a:rPr lang="en-US" sz="1000" b="0" i="1">
                                        <a:latin typeface="Cambria Math" panose="02040503050406030204" pitchFamily="18" charset="0"/>
                                      </a:rPr>
                                      <m:t>0</m:t>
                                    </m:r>
                                    <m:r>
                                      <a:rPr lang="en-US" sz="1000" b="0" i="1">
                                        <a:latin typeface="Cambria Math" panose="02040503050406030204" pitchFamily="18" charset="0"/>
                                      </a:rPr>
                                      <m:t>.</m:t>
                                    </m:r>
                                    <m:r>
                                      <a:rPr lang="en-US" sz="1000" b="0" i="1">
                                        <a:latin typeface="Cambria Math" panose="02040503050406030204" pitchFamily="18" charset="0"/>
                                      </a:rPr>
                                      <m:t>6</m:t>
                                    </m:r>
                                  </m:e>
                                </m:d>
                              </m:e>
                              <m:sup>
                                <m:r>
                                  <a:rPr lang="en-US" sz="1000" i="1">
                                    <a:latin typeface="Cambria Math"/>
                                  </a:rPr>
                                  <m:t>2</m:t>
                                </m:r>
                              </m:sup>
                            </m:sSup>
                          </m:num>
                          <m:den>
                            <m:r>
                              <a:rPr lang="en-US" sz="1000" b="0" i="1">
                                <a:latin typeface="Cambria Math" panose="02040503050406030204" pitchFamily="18" charset="0"/>
                              </a:rPr>
                              <m:t>9</m:t>
                            </m:r>
                            <m:r>
                              <a:rPr lang="en-US" sz="1000" b="0" i="1">
                                <a:latin typeface="Cambria Math" panose="02040503050406030204" pitchFamily="18" charset="0"/>
                              </a:rPr>
                              <m:t>.</m:t>
                            </m:r>
                            <m:r>
                              <a:rPr lang="en-US" sz="1000" b="0" i="1">
                                <a:latin typeface="Cambria Math" panose="02040503050406030204" pitchFamily="18" charset="0"/>
                              </a:rPr>
                              <m:t>03</m:t>
                            </m:r>
                          </m:den>
                        </m:f>
                        <m:r>
                          <a:rPr lang="en-US" sz="1000" b="0" i="1">
                            <a:latin typeface="Cambria Math"/>
                            <a:ea typeface="Cambria Math"/>
                          </a:rPr>
                          <m:t>=</m:t>
                        </m:r>
                        <m:r>
                          <a:rPr lang="en-US" sz="1000" b="0" i="1">
                            <a:latin typeface="Cambria Math" panose="02040503050406030204" pitchFamily="18" charset="0"/>
                            <a:ea typeface="Cambria Math"/>
                          </a:rPr>
                          <m:t>0</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040</m:t>
                        </m:r>
                        <m:r>
                          <a:rPr lang="en-US" sz="1000" b="0" i="1">
                            <a:latin typeface="Cambria Math" panose="02040503050406030204" pitchFamily="18" charset="0"/>
                            <a:ea typeface="Cambria Math"/>
                          </a:rPr>
                          <m:t> </m:t>
                        </m:r>
                        <m:r>
                          <a:rPr lang="en-US" sz="1000" b="0" i="1">
                            <a:latin typeface="Cambria Math" panose="02040503050406030204" pitchFamily="18" charset="0"/>
                            <a:ea typeface="Cambria Math"/>
                          </a:rPr>
                          <m:t>𝑀𝑉𝐴𝑅</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𝑃</m:t>
                        </m:r>
                        <m:r>
                          <a:rPr lang="en-US" sz="1000" b="0" i="1">
                            <a:latin typeface="Cambria Math" panose="02040503050406030204" pitchFamily="18" charset="0"/>
                            <a:ea typeface="Cambria Math"/>
                          </a:rPr>
                          <m:t>h</m:t>
                        </m:r>
                        <m:r>
                          <a:rPr lang="en-US" sz="1000" b="0" i="1">
                            <a:latin typeface="Cambria Math" panose="02040503050406030204" pitchFamily="18" charset="0"/>
                            <a:ea typeface="Cambria Math"/>
                          </a:rPr>
                          <m:t>𝑎𝑠𝑒</m:t>
                        </m:r>
                      </m:e>
                      <m:sub/>
                    </m:sSub>
                  </m:oMath>
                </m:oMathPara>
              </a14:m>
              <a:endParaRPr lang="en-US" sz="800" b="0"/>
            </a:p>
          </xdr:txBody>
        </xdr:sp>
      </mc:Choice>
      <mc:Fallback xmlns="">
        <xdr:sp macro="" textlink="">
          <xdr:nvSpPr>
            <xdr:cNvPr id="23" name="TextBox 3">
              <a:extLst>
                <a:ext uri="{FF2B5EF4-FFF2-40B4-BE49-F238E27FC236}">
                  <a16:creationId xmlns:a16="http://schemas.microsoft.com/office/drawing/2014/main" id="{D1E503C5-8FD9-4B78-9B49-4A29F897E33F}"/>
                </a:ext>
              </a:extLst>
            </xdr:cNvPr>
            <xdr:cNvSpPr txBox="1"/>
          </xdr:nvSpPr>
          <xdr:spPr>
            <a:xfrm>
              <a:off x="2322618" y="41366010"/>
              <a:ext cx="5028787" cy="42067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b="0" i="0">
                  <a:latin typeface="Cambria Math" panose="02040503050406030204" pitchFamily="18" charset="0"/>
                </a:rPr>
                <a:t>〖</a:t>
              </a:r>
              <a:r>
                <a:rPr lang="en-US" sz="1000" b="0" i="0">
                  <a:latin typeface="Cambria Math"/>
                </a:rPr>
                <a:t>𝑄</a:t>
              </a:r>
              <a:r>
                <a:rPr lang="en-US" sz="1000" b="0" i="0">
                  <a:latin typeface="Cambria Math" panose="02040503050406030204" pitchFamily="18" charset="0"/>
                </a:rPr>
                <a:t>_(𝐶𝐴 </a:t>
              </a:r>
              <a:r>
                <a:rPr lang="en-US" sz="1000" b="0" i="0">
                  <a:latin typeface="Cambria Math"/>
                </a:rPr>
                <a:t>𝑅𝐴𝑇𝐸𝐷 𝑃𝐸𝑅 𝑃𝐻𝐴𝑆𝐸 (</a:t>
              </a:r>
              <a:r>
                <a:rPr lang="en-US" sz="1000" b="0" i="0">
                  <a:latin typeface="Cambria Math" panose="02040503050406030204" pitchFamily="18" charset="0"/>
                </a:rPr>
                <a:t>𝑀𝑉𝐴𝑅</a:t>
              </a:r>
              <a:r>
                <a:rPr lang="en-US" sz="1000" b="0" i="0">
                  <a:latin typeface="Cambria Math"/>
                </a:rPr>
                <a:t>)</a:t>
              </a:r>
              <a:r>
                <a:rPr lang="en-US" sz="1000" b="0" i="0">
                  <a:latin typeface="Cambria Math" panose="02040503050406030204" pitchFamily="18" charset="0"/>
                </a:rPr>
                <a:t>)</a:t>
              </a:r>
              <a:r>
                <a:rPr lang="en-US" sz="1000" b="0" i="0">
                  <a:latin typeface="Cambria Math"/>
                </a:rPr>
                <a:t>  </a:t>
              </a:r>
              <a:r>
                <a:rPr lang="en-US" sz="1000" b="0" i="0">
                  <a:latin typeface="Cambria Math"/>
                  <a:ea typeface="Cambria Math"/>
                </a:rPr>
                <a:t>=</a:t>
              </a:r>
              <a:r>
                <a:rPr lang="en-US" sz="1000" b="0" i="0">
                  <a:solidFill>
                    <a:schemeClr val="tx1"/>
                  </a:solidFill>
                  <a:effectLst/>
                  <a:latin typeface="Cambria Math" panose="02040503050406030204" pitchFamily="18" charset="0"/>
                  <a:ea typeface="Cambria Math"/>
                </a:rPr>
                <a:t>(</a:t>
              </a:r>
              <a:r>
                <a:rPr lang="en-US" sz="1000" b="0" i="0">
                  <a:solidFill>
                    <a:schemeClr val="tx1"/>
                  </a:solidFill>
                  <a:effectLst/>
                  <a:latin typeface="Cambria Math"/>
                </a:rPr>
                <a:t>𝑉</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𝐶𝐴𝑃 𝑅𝐴𝑇𝐼𝑁𝐺</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2</a:t>
              </a:r>
              <a:r>
                <a:rPr lang="en-US" sz="1000" b="0" i="0">
                  <a:solidFill>
                    <a:schemeClr val="tx1"/>
                  </a:solidFill>
                  <a:effectLst/>
                  <a:latin typeface="Cambria Math" panose="02040503050406030204" pitchFamily="18" charset="0"/>
                  <a:ea typeface="Cambria Math"/>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𝐶</a:t>
              </a:r>
              <a:r>
                <a:rPr lang="en-US" sz="1000" b="0" i="0">
                  <a:latin typeface="Cambria Math" panose="02040503050406030204" pitchFamily="18" charset="0"/>
                  <a:ea typeface="Cambria Math"/>
                </a:rPr>
                <a:t>𝐴 </a:t>
              </a:r>
              <a:r>
                <a:rPr lang="en-US" sz="1000" b="0" i="0">
                  <a:latin typeface="Cambria Math"/>
                  <a:ea typeface="Cambria Math"/>
                </a:rPr>
                <a:t>=</a:t>
              </a:r>
              <a:r>
                <a:rPr lang="en-US" sz="1000" b="0" i="0">
                  <a:latin typeface="Cambria Math" panose="02040503050406030204" pitchFamily="18" charset="0"/>
                  <a:ea typeface="Cambria Math"/>
                </a:rPr>
                <a:t>(</a:t>
              </a:r>
              <a:r>
                <a:rPr lang="en-US" sz="1000" b="0" i="0">
                  <a:latin typeface="Cambria Math" panose="02040503050406030204" pitchFamily="18" charset="0"/>
                </a:rPr>
                <a:t>0.6)^</a:t>
              </a:r>
              <a:r>
                <a:rPr lang="en-US" sz="1000" i="0">
                  <a:latin typeface="Cambria Math"/>
                </a:rPr>
                <a:t>2</a:t>
              </a:r>
              <a:r>
                <a:rPr lang="en-US" sz="1000" i="0">
                  <a:latin typeface="Cambria Math" panose="02040503050406030204" pitchFamily="18" charset="0"/>
                  <a:ea typeface="Cambria Math"/>
                </a:rPr>
                <a:t>/</a:t>
              </a:r>
              <a:r>
                <a:rPr lang="en-US" sz="1000" b="0" i="0">
                  <a:latin typeface="Cambria Math" panose="02040503050406030204" pitchFamily="18" charset="0"/>
                </a:rPr>
                <a:t>9.03</a:t>
              </a:r>
              <a:r>
                <a:rPr lang="en-US" sz="1000" b="0" i="0">
                  <a:latin typeface="Cambria Math"/>
                  <a:ea typeface="Cambria Math"/>
                </a:rPr>
                <a:t>=</a:t>
              </a:r>
              <a:r>
                <a:rPr lang="en-US" sz="1000" b="0" i="0">
                  <a:latin typeface="Cambria Math" panose="02040503050406030204" pitchFamily="18" charset="0"/>
                  <a:ea typeface="Cambria Math"/>
                </a:rPr>
                <a:t>0.040 𝑀𝑉𝐴𝑅/𝑃ℎ𝑎𝑠𝑒〗_</a:t>
              </a:r>
              <a:endParaRPr lang="en-US" sz="800" b="0"/>
            </a:p>
          </xdr:txBody>
        </xdr:sp>
      </mc:Fallback>
    </mc:AlternateContent>
    <xdr:clientData/>
  </xdr:twoCellAnchor>
  <xdr:twoCellAnchor>
    <xdr:from>
      <xdr:col>12</xdr:col>
      <xdr:colOff>149677</xdr:colOff>
      <xdr:row>183</xdr:row>
      <xdr:rowOff>14020</xdr:rowOff>
    </xdr:from>
    <xdr:to>
      <xdr:col>40</xdr:col>
      <xdr:colOff>120689</xdr:colOff>
      <xdr:row>184</xdr:row>
      <xdr:rowOff>208812</xdr:rowOff>
    </xdr:to>
    <mc:AlternateContent xmlns:mc="http://schemas.openxmlformats.org/markup-compatibility/2006" xmlns:a14="http://schemas.microsoft.com/office/drawing/2010/main">
      <mc:Choice Requires="a14">
        <xdr:sp macro="" textlink="">
          <xdr:nvSpPr>
            <xdr:cNvPr id="24" name="TextBox 3">
              <a:extLst>
                <a:ext uri="{FF2B5EF4-FFF2-40B4-BE49-F238E27FC236}">
                  <a16:creationId xmlns:a16="http://schemas.microsoft.com/office/drawing/2014/main" id="{02961EAC-5E86-4AA6-A5EE-4883D2538233}"/>
                </a:ext>
              </a:extLst>
            </xdr:cNvPr>
            <xdr:cNvSpPr txBox="1"/>
          </xdr:nvSpPr>
          <xdr:spPr>
            <a:xfrm>
              <a:off x="2321377" y="41847820"/>
              <a:ext cx="5038312" cy="42339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b="0" i="1">
                            <a:latin typeface="Cambria Math" panose="02040503050406030204" pitchFamily="18" charset="0"/>
                          </a:rPr>
                        </m:ctrlPr>
                      </m:sSubPr>
                      <m:e>
                        <m:sSub>
                          <m:sSubPr>
                            <m:ctrlPr>
                              <a:rPr lang="en-US" sz="1000" b="0" i="1">
                                <a:latin typeface="Cambria Math" panose="02040503050406030204" pitchFamily="18" charset="0"/>
                              </a:rPr>
                            </m:ctrlPr>
                          </m:sSubPr>
                          <m:e>
                            <m:r>
                              <a:rPr lang="en-US" sz="1000" b="0" i="1">
                                <a:latin typeface="Cambria Math"/>
                              </a:rPr>
                              <m:t>𝑄</m:t>
                            </m:r>
                          </m:e>
                          <m:sub>
                            <m:r>
                              <a:rPr lang="en-US" sz="1000" b="0" i="1">
                                <a:latin typeface="Cambria Math" panose="02040503050406030204" pitchFamily="18" charset="0"/>
                              </a:rPr>
                              <m:t>𝐶𝑀</m:t>
                            </m:r>
                            <m:r>
                              <a:rPr lang="en-US" sz="1000" b="0" i="1">
                                <a:latin typeface="Cambria Math" panose="02040503050406030204" pitchFamily="18" charset="0"/>
                              </a:rPr>
                              <m:t> </m:t>
                            </m:r>
                            <m:r>
                              <a:rPr lang="en-US" sz="1000" b="0" i="1">
                                <a:latin typeface="Cambria Math"/>
                              </a:rPr>
                              <m:t>𝑅𝐴𝑇𝐸𝐷</m:t>
                            </m:r>
                            <m:r>
                              <a:rPr lang="en-US" sz="1000" b="0" i="1">
                                <a:latin typeface="Cambria Math"/>
                              </a:rPr>
                              <m:t> </m:t>
                            </m:r>
                            <m:r>
                              <a:rPr lang="en-US" sz="1000" b="0" i="1">
                                <a:latin typeface="Cambria Math"/>
                              </a:rPr>
                              <m:t>𝑃𝐸𝑅</m:t>
                            </m:r>
                            <m:r>
                              <a:rPr lang="en-US" sz="1000" b="0" i="1">
                                <a:latin typeface="Cambria Math"/>
                              </a:rPr>
                              <m:t> </m:t>
                            </m:r>
                            <m:r>
                              <a:rPr lang="en-US" sz="1000" b="0" i="1">
                                <a:latin typeface="Cambria Math"/>
                              </a:rPr>
                              <m:t>𝑃𝐻𝐴𝑆𝐸</m:t>
                            </m:r>
                            <m:r>
                              <a:rPr lang="en-US" sz="1000" b="0" i="1">
                                <a:latin typeface="Cambria Math"/>
                              </a:rPr>
                              <m:t> (</m:t>
                            </m:r>
                            <m:r>
                              <a:rPr lang="en-US" sz="1000" b="0" i="1">
                                <a:latin typeface="Cambria Math" panose="02040503050406030204" pitchFamily="18" charset="0"/>
                              </a:rPr>
                              <m:t>𝑀𝑉𝐴𝑅</m:t>
                            </m:r>
                            <m:r>
                              <a:rPr lang="en-US" sz="1000" b="0" i="1">
                                <a:latin typeface="Cambria Math"/>
                              </a:rPr>
                              <m:t>)</m:t>
                            </m:r>
                          </m:sub>
                        </m:sSub>
                        <m:r>
                          <a:rPr lang="en-US" sz="1000" b="0" i="1">
                            <a:latin typeface="Cambria Math"/>
                          </a:rPr>
                          <m:t> </m:t>
                        </m:r>
                        <m:r>
                          <a:rPr lang="en-US" sz="1000" b="0" i="1">
                            <a:latin typeface="Cambria Math"/>
                            <a:ea typeface="Cambria Math"/>
                          </a:rPr>
                          <m:t>=</m:t>
                        </m:r>
                        <m:f>
                          <m:fPr>
                            <m:ctrlPr>
                              <a:rPr lang="en-US" sz="1000" b="0" i="1">
                                <a:latin typeface="Cambria Math" panose="02040503050406030204" pitchFamily="18" charset="0"/>
                                <a:ea typeface="Cambria Math"/>
                              </a:rPr>
                            </m:ctrlPr>
                          </m:fPr>
                          <m:num>
                            <m:sSup>
                              <m:sSupPr>
                                <m:ctrlPr>
                                  <a:rPr lang="en-US" sz="1000" b="0" i="1">
                                    <a:solidFill>
                                      <a:schemeClr val="tx1"/>
                                    </a:solidFill>
                                    <a:effectLst/>
                                    <a:latin typeface="Cambria Math" panose="02040503050406030204" pitchFamily="18" charset="0"/>
                                  </a:rPr>
                                </m:ctrlPr>
                              </m:sSupPr>
                              <m:e>
                                <m:d>
                                  <m:dPr>
                                    <m:ctrlPr>
                                      <a:rPr lang="en-US" sz="1000" b="0" i="1">
                                        <a:solidFill>
                                          <a:schemeClr val="tx1"/>
                                        </a:solidFill>
                                        <a:effectLst/>
                                        <a:latin typeface="Cambria Math" panose="02040503050406030204" pitchFamily="18" charset="0"/>
                                      </a:rPr>
                                    </m:ctrlPr>
                                  </m:dPr>
                                  <m:e>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𝑉</m:t>
                                        </m:r>
                                      </m:e>
                                      <m:sub>
                                        <m:r>
                                          <a:rPr lang="en-US" sz="1000" b="0" i="1">
                                            <a:solidFill>
                                              <a:schemeClr val="tx1"/>
                                            </a:solidFill>
                                            <a:effectLst/>
                                            <a:latin typeface="Cambria Math"/>
                                          </a:rPr>
                                          <m:t>𝐶𝐴𝑃</m:t>
                                        </m:r>
                                        <m:r>
                                          <a:rPr lang="en-US" sz="1000" b="0" i="1">
                                            <a:solidFill>
                                              <a:schemeClr val="tx1"/>
                                            </a:solidFill>
                                            <a:effectLst/>
                                            <a:latin typeface="Cambria Math"/>
                                          </a:rPr>
                                          <m:t> </m:t>
                                        </m:r>
                                        <m:r>
                                          <a:rPr lang="en-US" sz="1000" b="0" i="1">
                                            <a:solidFill>
                                              <a:schemeClr val="tx1"/>
                                            </a:solidFill>
                                            <a:effectLst/>
                                            <a:latin typeface="Cambria Math"/>
                                          </a:rPr>
                                          <m:t>𝑅𝐴𝑇𝐼𝑁𝐺</m:t>
                                        </m:r>
                                      </m:sub>
                                    </m:sSub>
                                  </m:e>
                                </m:d>
                              </m:e>
                              <m:sup>
                                <m:r>
                                  <a:rPr lang="en-US" sz="1000" b="0" i="1">
                                    <a:solidFill>
                                      <a:schemeClr val="tx1"/>
                                    </a:solidFill>
                                    <a:effectLst/>
                                    <a:latin typeface="Cambria Math"/>
                                  </a:rPr>
                                  <m:t>2</m:t>
                                </m:r>
                              </m:sup>
                            </m:sSup>
                          </m:num>
                          <m:den>
                            <m:sSub>
                              <m:sSubPr>
                                <m:ctrlPr>
                                  <a:rPr lang="en-US" sz="1000" b="0" i="1">
                                    <a:latin typeface="Cambria Math" panose="02040503050406030204" pitchFamily="18" charset="0"/>
                                    <a:ea typeface="Cambria Math"/>
                                  </a:rPr>
                                </m:ctrlPr>
                              </m:sSubPr>
                              <m:e>
                                <m:r>
                                  <a:rPr lang="en-US" sz="1000" b="0" i="1">
                                    <a:latin typeface="Cambria Math"/>
                                    <a:ea typeface="Cambria Math"/>
                                  </a:rPr>
                                  <m:t>𝑋</m:t>
                                </m:r>
                              </m:e>
                              <m:sub>
                                <m:r>
                                  <a:rPr lang="en-US" sz="1000" b="0" i="1">
                                    <a:latin typeface="Cambria Math"/>
                                    <a:ea typeface="Cambria Math"/>
                                  </a:rPr>
                                  <m:t>𝐶</m:t>
                                </m:r>
                                <m:r>
                                  <a:rPr lang="en-US" sz="1000" b="0" i="1">
                                    <a:latin typeface="Cambria Math" panose="02040503050406030204" pitchFamily="18" charset="0"/>
                                    <a:ea typeface="Cambria Math"/>
                                  </a:rPr>
                                  <m:t>𝑀</m:t>
                                </m:r>
                              </m:sub>
                            </m:sSub>
                          </m:den>
                        </m:f>
                        <m:r>
                          <a:rPr lang="en-US" sz="1000" b="0" i="1">
                            <a:latin typeface="Cambria Math" panose="02040503050406030204" pitchFamily="18" charset="0"/>
                            <a:ea typeface="Cambria Math"/>
                          </a:rPr>
                          <m:t>=</m:t>
                        </m:r>
                        <m:f>
                          <m:fPr>
                            <m:ctrlPr>
                              <a:rPr lang="en-US" sz="1000" i="1">
                                <a:latin typeface="Cambria Math" panose="02040503050406030204" pitchFamily="18" charset="0"/>
                                <a:ea typeface="Cambria Math"/>
                              </a:rPr>
                            </m:ctrlPr>
                          </m:fPr>
                          <m:num>
                            <m:sSup>
                              <m:sSupPr>
                                <m:ctrlPr>
                                  <a:rPr lang="en-US" sz="1000" i="1">
                                    <a:latin typeface="Cambria Math" panose="02040503050406030204" pitchFamily="18" charset="0"/>
                                  </a:rPr>
                                </m:ctrlPr>
                              </m:sSupPr>
                              <m:e>
                                <m:d>
                                  <m:dPr>
                                    <m:ctrlPr>
                                      <a:rPr lang="en-US" sz="1000" i="1">
                                        <a:latin typeface="Cambria Math" panose="02040503050406030204" pitchFamily="18" charset="0"/>
                                      </a:rPr>
                                    </m:ctrlPr>
                                  </m:dPr>
                                  <m:e>
                                    <m:r>
                                      <a:rPr lang="en-US" sz="1000" b="0" i="1">
                                        <a:latin typeface="Cambria Math"/>
                                      </a:rPr>
                                      <m:t>9</m:t>
                                    </m:r>
                                    <m:r>
                                      <a:rPr lang="en-US" sz="1000" b="0" i="1">
                                        <a:latin typeface="Cambria Math"/>
                                      </a:rPr>
                                      <m:t>.</m:t>
                                    </m:r>
                                    <m:r>
                                      <a:rPr lang="en-US" sz="1000" b="0" i="1">
                                        <a:latin typeface="Cambria Math"/>
                                      </a:rPr>
                                      <m:t>54</m:t>
                                    </m:r>
                                  </m:e>
                                </m:d>
                              </m:e>
                              <m:sup>
                                <m:r>
                                  <a:rPr lang="en-US" sz="1000" i="1">
                                    <a:latin typeface="Cambria Math"/>
                                  </a:rPr>
                                  <m:t>2</m:t>
                                </m:r>
                              </m:sup>
                            </m:sSup>
                          </m:num>
                          <m:den>
                            <m:r>
                              <a:rPr lang="en-US" sz="1000" b="0" i="1">
                                <a:latin typeface="Cambria Math" panose="02040503050406030204" pitchFamily="18" charset="0"/>
                              </a:rPr>
                              <m:t>190</m:t>
                            </m:r>
                            <m:r>
                              <a:rPr lang="en-US" sz="1000" b="0" i="1">
                                <a:latin typeface="Cambria Math" panose="02040503050406030204" pitchFamily="18" charset="0"/>
                              </a:rPr>
                              <m:t>.</m:t>
                            </m:r>
                            <m:r>
                              <a:rPr lang="en-US" sz="1000" b="0" i="1">
                                <a:latin typeface="Cambria Math" panose="02040503050406030204" pitchFamily="18" charset="0"/>
                              </a:rPr>
                              <m:t>4</m:t>
                            </m:r>
                          </m:den>
                        </m:f>
                        <m:r>
                          <a:rPr lang="en-US" sz="1000" b="0" i="1">
                            <a:latin typeface="Cambria Math"/>
                            <a:ea typeface="Cambria Math"/>
                          </a:rPr>
                          <m:t>=</m:t>
                        </m:r>
                        <m:r>
                          <a:rPr lang="en-US" sz="1000" b="0" i="1">
                            <a:latin typeface="Cambria Math" panose="02040503050406030204" pitchFamily="18" charset="0"/>
                            <a:ea typeface="Cambria Math"/>
                          </a:rPr>
                          <m:t>0</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478</m:t>
                        </m:r>
                        <m:r>
                          <a:rPr lang="en-US" sz="1000" b="0" i="1">
                            <a:latin typeface="Cambria Math" panose="02040503050406030204" pitchFamily="18" charset="0"/>
                            <a:ea typeface="Cambria Math"/>
                          </a:rPr>
                          <m:t> </m:t>
                        </m:r>
                        <m:r>
                          <a:rPr lang="en-US" sz="1000" b="0" i="1">
                            <a:latin typeface="Cambria Math" panose="02040503050406030204" pitchFamily="18" charset="0"/>
                            <a:ea typeface="Cambria Math"/>
                          </a:rPr>
                          <m:t>𝑘𝑣𝑎𝑟</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𝑃</m:t>
                        </m:r>
                        <m:r>
                          <a:rPr lang="en-US" sz="1000" b="0" i="1">
                            <a:latin typeface="Cambria Math" panose="02040503050406030204" pitchFamily="18" charset="0"/>
                            <a:ea typeface="Cambria Math"/>
                          </a:rPr>
                          <m:t>h</m:t>
                        </m:r>
                        <m:r>
                          <a:rPr lang="en-US" sz="1000" b="0" i="1">
                            <a:latin typeface="Cambria Math" panose="02040503050406030204" pitchFamily="18" charset="0"/>
                            <a:ea typeface="Cambria Math"/>
                          </a:rPr>
                          <m:t>𝑎𝑠𝑒</m:t>
                        </m:r>
                      </m:e>
                      <m:sub/>
                    </m:sSub>
                  </m:oMath>
                </m:oMathPara>
              </a14:m>
              <a:endParaRPr lang="en-US" sz="1000" b="0"/>
            </a:p>
          </xdr:txBody>
        </xdr:sp>
      </mc:Choice>
      <mc:Fallback xmlns="">
        <xdr:sp macro="" textlink="">
          <xdr:nvSpPr>
            <xdr:cNvPr id="24" name="TextBox 3">
              <a:extLst>
                <a:ext uri="{FF2B5EF4-FFF2-40B4-BE49-F238E27FC236}">
                  <a16:creationId xmlns:a16="http://schemas.microsoft.com/office/drawing/2014/main" id="{02961EAC-5E86-4AA6-A5EE-4883D2538233}"/>
                </a:ext>
              </a:extLst>
            </xdr:cNvPr>
            <xdr:cNvSpPr txBox="1"/>
          </xdr:nvSpPr>
          <xdr:spPr>
            <a:xfrm>
              <a:off x="2321377" y="41847820"/>
              <a:ext cx="5038312" cy="42339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b="0" i="0">
                  <a:latin typeface="Cambria Math" panose="02040503050406030204" pitchFamily="18" charset="0"/>
                </a:rPr>
                <a:t>〖</a:t>
              </a:r>
              <a:r>
                <a:rPr lang="en-US" sz="1000" b="0" i="0">
                  <a:latin typeface="Cambria Math"/>
                </a:rPr>
                <a:t>𝑄</a:t>
              </a:r>
              <a:r>
                <a:rPr lang="en-US" sz="1000" b="0" i="0">
                  <a:latin typeface="Cambria Math" panose="02040503050406030204" pitchFamily="18" charset="0"/>
                </a:rPr>
                <a:t>_(𝐶𝑀 </a:t>
              </a:r>
              <a:r>
                <a:rPr lang="en-US" sz="1000" b="0" i="0">
                  <a:latin typeface="Cambria Math"/>
                </a:rPr>
                <a:t>𝑅𝐴𝑇𝐸𝐷 𝑃𝐸𝑅 𝑃𝐻𝐴𝑆𝐸 (</a:t>
              </a:r>
              <a:r>
                <a:rPr lang="en-US" sz="1000" b="0" i="0">
                  <a:latin typeface="Cambria Math" panose="02040503050406030204" pitchFamily="18" charset="0"/>
                </a:rPr>
                <a:t>𝑀𝑉𝐴𝑅</a:t>
              </a:r>
              <a:r>
                <a:rPr lang="en-US" sz="1000" b="0" i="0">
                  <a:latin typeface="Cambria Math"/>
                </a:rPr>
                <a:t>)</a:t>
              </a:r>
              <a:r>
                <a:rPr lang="en-US" sz="1000" b="0" i="0">
                  <a:latin typeface="Cambria Math" panose="02040503050406030204" pitchFamily="18" charset="0"/>
                </a:rPr>
                <a:t>)</a:t>
              </a:r>
              <a:r>
                <a:rPr lang="en-US" sz="1000" b="0" i="0">
                  <a:latin typeface="Cambria Math"/>
                </a:rPr>
                <a:t>  </a:t>
              </a:r>
              <a:r>
                <a:rPr lang="en-US" sz="1000" b="0" i="0">
                  <a:latin typeface="Cambria Math"/>
                  <a:ea typeface="Cambria Math"/>
                </a:rPr>
                <a:t>=</a:t>
              </a:r>
              <a:r>
                <a:rPr lang="en-US" sz="1000" b="0" i="0">
                  <a:solidFill>
                    <a:schemeClr val="tx1"/>
                  </a:solidFill>
                  <a:effectLst/>
                  <a:latin typeface="Cambria Math" panose="02040503050406030204" pitchFamily="18" charset="0"/>
                  <a:ea typeface="Cambria Math"/>
                </a:rPr>
                <a:t>(</a:t>
              </a:r>
              <a:r>
                <a:rPr lang="en-US" sz="1000" b="0" i="0">
                  <a:solidFill>
                    <a:schemeClr val="tx1"/>
                  </a:solidFill>
                  <a:effectLst/>
                  <a:latin typeface="Cambria Math"/>
                </a:rPr>
                <a:t>𝑉</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𝐶𝐴𝑃 𝑅𝐴𝑇𝐼𝑁𝐺</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2</a:t>
              </a:r>
              <a:r>
                <a:rPr lang="en-US" sz="1000" b="0" i="0">
                  <a:solidFill>
                    <a:schemeClr val="tx1"/>
                  </a:solidFill>
                  <a:effectLst/>
                  <a:latin typeface="Cambria Math" panose="02040503050406030204" pitchFamily="18" charset="0"/>
                  <a:ea typeface="Cambria Math"/>
                </a:rPr>
                <a:t>/</a:t>
              </a:r>
              <a:r>
                <a:rPr lang="en-US" sz="1000" b="0" i="0">
                  <a:latin typeface="Cambria Math"/>
                  <a:ea typeface="Cambria Math"/>
                </a:rPr>
                <a:t>𝑋</a:t>
              </a:r>
              <a:r>
                <a:rPr lang="en-US" sz="1000" b="0" i="0">
                  <a:latin typeface="Cambria Math" panose="02040503050406030204" pitchFamily="18" charset="0"/>
                  <a:ea typeface="Cambria Math"/>
                </a:rPr>
                <a:t>_</a:t>
              </a:r>
              <a:r>
                <a:rPr lang="en-US" sz="1000" b="0" i="0">
                  <a:latin typeface="Cambria Math"/>
                  <a:ea typeface="Cambria Math"/>
                </a:rPr>
                <a:t>𝐶</a:t>
              </a:r>
              <a:r>
                <a:rPr lang="en-US" sz="1000" b="0" i="0">
                  <a:latin typeface="Cambria Math" panose="02040503050406030204" pitchFamily="18" charset="0"/>
                  <a:ea typeface="Cambria Math"/>
                </a:rPr>
                <a:t>𝑀 =(</a:t>
              </a:r>
              <a:r>
                <a:rPr lang="en-US" sz="1000" b="0" i="0">
                  <a:latin typeface="Cambria Math"/>
                </a:rPr>
                <a:t>9.54</a:t>
              </a:r>
              <a:r>
                <a:rPr lang="en-US" sz="1000" b="0" i="0">
                  <a:latin typeface="Cambria Math" panose="02040503050406030204" pitchFamily="18" charset="0"/>
                </a:rPr>
                <a:t>)^</a:t>
              </a:r>
              <a:r>
                <a:rPr lang="en-US" sz="1000" i="0">
                  <a:latin typeface="Cambria Math"/>
                </a:rPr>
                <a:t>2</a:t>
              </a:r>
              <a:r>
                <a:rPr lang="en-US" sz="1000" i="0">
                  <a:latin typeface="Cambria Math" panose="02040503050406030204" pitchFamily="18" charset="0"/>
                  <a:ea typeface="Cambria Math"/>
                </a:rPr>
                <a:t>/</a:t>
              </a:r>
              <a:r>
                <a:rPr lang="en-US" sz="1000" b="0" i="0">
                  <a:latin typeface="Cambria Math" panose="02040503050406030204" pitchFamily="18" charset="0"/>
                </a:rPr>
                <a:t>190.4</a:t>
              </a:r>
              <a:r>
                <a:rPr lang="en-US" sz="1000" b="0" i="0">
                  <a:latin typeface="Cambria Math"/>
                  <a:ea typeface="Cambria Math"/>
                </a:rPr>
                <a:t>=</a:t>
              </a:r>
              <a:r>
                <a:rPr lang="en-US" sz="1000" b="0" i="0">
                  <a:latin typeface="Cambria Math" panose="02040503050406030204" pitchFamily="18" charset="0"/>
                  <a:ea typeface="Cambria Math"/>
                </a:rPr>
                <a:t>0.478 𝑘𝑣𝑎𝑟/𝑃ℎ𝑎𝑠𝑒〗_</a:t>
              </a:r>
              <a:endParaRPr lang="en-US" sz="1000" b="0"/>
            </a:p>
          </xdr:txBody>
        </xdr:sp>
      </mc:Fallback>
    </mc:AlternateContent>
    <xdr:clientData/>
  </xdr:twoCellAnchor>
  <xdr:twoCellAnchor>
    <xdr:from>
      <xdr:col>12</xdr:col>
      <xdr:colOff>161687</xdr:colOff>
      <xdr:row>185</xdr:row>
      <xdr:rowOff>17334</xdr:rowOff>
    </xdr:from>
    <xdr:to>
      <xdr:col>42</xdr:col>
      <xdr:colOff>54428</xdr:colOff>
      <xdr:row>186</xdr:row>
      <xdr:rowOff>196801</xdr:rowOff>
    </xdr:to>
    <mc:AlternateContent xmlns:mc="http://schemas.openxmlformats.org/markup-compatibility/2006" xmlns:a14="http://schemas.microsoft.com/office/drawing/2010/main">
      <mc:Choice Requires="a14">
        <xdr:sp macro="" textlink="">
          <xdr:nvSpPr>
            <xdr:cNvPr id="25" name="TextBox 14">
              <a:extLst>
                <a:ext uri="{FF2B5EF4-FFF2-40B4-BE49-F238E27FC236}">
                  <a16:creationId xmlns:a16="http://schemas.microsoft.com/office/drawing/2014/main" id="{30802B8F-B260-4451-9E60-C9EDDAFADA3B}"/>
                </a:ext>
              </a:extLst>
            </xdr:cNvPr>
            <xdr:cNvSpPr txBox="1"/>
          </xdr:nvSpPr>
          <xdr:spPr>
            <a:xfrm>
              <a:off x="2333387" y="42308334"/>
              <a:ext cx="5321991" cy="40806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𝐼</m:t>
                        </m:r>
                      </m:e>
                      <m:sub>
                        <m:r>
                          <a:rPr lang="en-US" sz="1000" b="0" i="1">
                            <a:latin typeface="Cambria Math"/>
                          </a:rPr>
                          <m:t>𝑅𝐴𝑇𝐸𝐷</m:t>
                        </m:r>
                        <m:r>
                          <a:rPr lang="en-US" sz="1000" b="0" i="1">
                            <a:latin typeface="Cambria Math"/>
                          </a:rPr>
                          <m:t> </m:t>
                        </m:r>
                        <m:r>
                          <a:rPr lang="en-US" sz="1000" b="0" i="1">
                            <a:latin typeface="Cambria Math"/>
                          </a:rPr>
                          <m:t>𝐹𝑈𝑁𝐷𝐴𝑀𝐸𝑁𝑇𝐴𝐿</m:t>
                        </m:r>
                      </m:sub>
                    </m:sSub>
                    <m:r>
                      <a:rPr lang="en-US" sz="1000" b="0" i="1">
                        <a:latin typeface="Cambria Math"/>
                        <a:ea typeface="Cambria Math"/>
                      </a:rPr>
                      <m:t>= </m:t>
                    </m:r>
                    <m:f>
                      <m:fPr>
                        <m:ctrlPr>
                          <a:rPr lang="en-US" sz="1000" b="0" i="1">
                            <a:latin typeface="Cambria Math" panose="02040503050406030204" pitchFamily="18" charset="0"/>
                            <a:ea typeface="Cambria Math"/>
                          </a:rPr>
                        </m:ctrlPr>
                      </m:fPr>
                      <m:num>
                        <m:sSub>
                          <m:sSubPr>
                            <m:ctrlPr>
                              <a:rPr lang="en-US" sz="1000" b="0" i="1">
                                <a:solidFill>
                                  <a:schemeClr val="tx1"/>
                                </a:solidFill>
                                <a:effectLst/>
                                <a:latin typeface="Cambria Math" panose="02040503050406030204" pitchFamily="18" charset="0"/>
                              </a:rPr>
                            </m:ctrlPr>
                          </m:sSubPr>
                          <m:e>
                            <m:r>
                              <a:rPr lang="en-US" sz="1000" b="0" i="1">
                                <a:solidFill>
                                  <a:schemeClr val="tx1"/>
                                </a:solidFill>
                                <a:effectLst/>
                                <a:latin typeface="Cambria Math"/>
                              </a:rPr>
                              <m:t>𝑄</m:t>
                            </m:r>
                          </m:e>
                          <m:sub>
                            <m:r>
                              <a:rPr lang="en-US" sz="1000" b="0" i="1">
                                <a:solidFill>
                                  <a:schemeClr val="tx1"/>
                                </a:solidFill>
                                <a:effectLst/>
                                <a:latin typeface="Cambria Math"/>
                              </a:rPr>
                              <m:t>𝑒𝑓𝑓</m:t>
                            </m:r>
                          </m:sub>
                        </m:sSub>
                      </m:num>
                      <m:den>
                        <m:r>
                          <a:rPr lang="en-US" sz="1000" b="0" i="1">
                            <a:latin typeface="Cambria Math"/>
                            <a:ea typeface="Cambria Math"/>
                          </a:rPr>
                          <m:t>1</m:t>
                        </m:r>
                        <m:r>
                          <a:rPr lang="en-US" sz="1000" b="0" i="1">
                            <a:latin typeface="Cambria Math"/>
                            <a:ea typeface="Cambria Math"/>
                          </a:rPr>
                          <m:t>.</m:t>
                        </m:r>
                        <m:r>
                          <a:rPr lang="en-US" sz="1000" b="0" i="1">
                            <a:latin typeface="Cambria Math"/>
                            <a:ea typeface="Cambria Math"/>
                          </a:rPr>
                          <m:t>73</m:t>
                        </m:r>
                        <m:r>
                          <a:rPr lang="en-US" sz="1000" b="0" i="1">
                            <a:latin typeface="Cambria Math"/>
                            <a:ea typeface="Cambria Math"/>
                          </a:rPr>
                          <m:t>×</m:t>
                        </m:r>
                        <m:sSub>
                          <m:sSubPr>
                            <m:ctrlPr>
                              <a:rPr lang="en-US" sz="1100" b="0" i="1" kern="1200">
                                <a:solidFill>
                                  <a:schemeClr val="tx1"/>
                                </a:solidFill>
                                <a:effectLst/>
                                <a:latin typeface="Cambria Math" panose="02040503050406030204" pitchFamily="18" charset="0"/>
                                <a:ea typeface="+mn-ea"/>
                                <a:cs typeface="+mn-cs"/>
                              </a:rPr>
                            </m:ctrlPr>
                          </m:sSubPr>
                          <m:e>
                            <m:r>
                              <a:rPr lang="en-US" sz="1100" b="0" i="1" kern="1200">
                                <a:solidFill>
                                  <a:schemeClr val="tx1"/>
                                </a:solidFill>
                                <a:effectLst/>
                                <a:latin typeface="Cambria Math" panose="02040503050406030204" pitchFamily="18" charset="0"/>
                                <a:ea typeface="+mn-ea"/>
                                <a:cs typeface="+mn-cs"/>
                              </a:rPr>
                              <m:t>𝑘𝑉</m:t>
                            </m:r>
                          </m:e>
                          <m:sub>
                            <m:r>
                              <a:rPr lang="en-US" sz="1100" b="0" i="1" kern="1200">
                                <a:solidFill>
                                  <a:schemeClr val="tx1"/>
                                </a:solidFill>
                                <a:effectLst/>
                                <a:latin typeface="Cambria Math" panose="02040503050406030204" pitchFamily="18" charset="0"/>
                                <a:ea typeface="+mn-ea"/>
                                <a:cs typeface="+mn-cs"/>
                              </a:rPr>
                              <m:t>𝐿𝐿𝑆𝑌𝑆</m:t>
                            </m:r>
                          </m:sub>
                        </m:sSub>
                      </m:den>
                    </m:f>
                    <m:r>
                      <a:rPr lang="en-US" sz="1000" b="0" i="1">
                        <a:latin typeface="Cambria Math"/>
                        <a:ea typeface="Cambria Math"/>
                      </a:rPr>
                      <m:t>×</m:t>
                    </m:r>
                    <m:r>
                      <a:rPr lang="en-US" sz="1000" b="0" i="1">
                        <a:latin typeface="Cambria Math"/>
                        <a:ea typeface="Cambria Math"/>
                      </a:rPr>
                      <m:t>1000</m:t>
                    </m:r>
                    <m:r>
                      <a:rPr lang="en-US" sz="1000" b="0" i="1">
                        <a:latin typeface="Cambria Math"/>
                        <a:ea typeface="Cambria Math"/>
                      </a:rPr>
                      <m:t>=</m:t>
                    </m:r>
                    <m:f>
                      <m:fPr>
                        <m:ctrlPr>
                          <a:rPr lang="en-US" sz="1000" i="1">
                            <a:latin typeface="Cambria Math" panose="02040503050406030204" pitchFamily="18" charset="0"/>
                            <a:ea typeface="Cambria Math"/>
                          </a:rPr>
                        </m:ctrlPr>
                      </m:fPr>
                      <m:num>
                        <m:r>
                          <a:rPr lang="en-US" sz="1000" b="0" i="1">
                            <a:latin typeface="Cambria Math" panose="02040503050406030204" pitchFamily="18" charset="0"/>
                            <a:ea typeface="Cambria Math"/>
                          </a:rPr>
                          <m:t>1</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0</m:t>
                        </m:r>
                      </m:num>
                      <m:den>
                        <m:r>
                          <a:rPr lang="en-US" sz="1000" i="1">
                            <a:latin typeface="Cambria Math"/>
                            <a:ea typeface="Cambria Math"/>
                          </a:rPr>
                          <m:t>1</m:t>
                        </m:r>
                        <m:r>
                          <a:rPr lang="en-US" sz="1000" i="1">
                            <a:latin typeface="Cambria Math"/>
                            <a:ea typeface="Cambria Math"/>
                          </a:rPr>
                          <m:t>.</m:t>
                        </m:r>
                        <m:r>
                          <a:rPr lang="en-US" sz="1000" i="1">
                            <a:latin typeface="Cambria Math"/>
                            <a:ea typeface="Cambria Math"/>
                          </a:rPr>
                          <m:t>73</m:t>
                        </m:r>
                        <m:r>
                          <a:rPr lang="en-US" sz="1000" i="1">
                            <a:latin typeface="Cambria Math"/>
                            <a:ea typeface="Cambria Math"/>
                          </a:rPr>
                          <m:t>×</m:t>
                        </m:r>
                        <m:r>
                          <a:rPr lang="en-US" sz="1000" b="0" i="1">
                            <a:latin typeface="Cambria Math"/>
                            <a:ea typeface="Cambria Math"/>
                          </a:rPr>
                          <m:t>13</m:t>
                        </m:r>
                        <m:r>
                          <a:rPr lang="en-US" sz="1000" b="0" i="1">
                            <a:latin typeface="Cambria Math"/>
                            <a:ea typeface="Cambria Math"/>
                          </a:rPr>
                          <m:t>.</m:t>
                        </m:r>
                        <m:r>
                          <a:rPr lang="en-US" sz="1000" b="0" i="1">
                            <a:latin typeface="Cambria Math"/>
                            <a:ea typeface="Cambria Math"/>
                          </a:rPr>
                          <m:t>8</m:t>
                        </m:r>
                      </m:den>
                    </m:f>
                    <m:r>
                      <a:rPr lang="en-US" sz="1000" i="1">
                        <a:latin typeface="Cambria Math"/>
                        <a:ea typeface="Cambria Math"/>
                      </a:rPr>
                      <m:t>×</m:t>
                    </m:r>
                    <m:r>
                      <a:rPr lang="en-US" sz="1000" i="1">
                        <a:latin typeface="Cambria Math"/>
                        <a:ea typeface="Cambria Math"/>
                      </a:rPr>
                      <m:t>1000</m:t>
                    </m:r>
                    <m:r>
                      <a:rPr lang="en-US" sz="1000" b="0" i="1">
                        <a:latin typeface="Cambria Math"/>
                        <a:ea typeface="Cambria Math"/>
                      </a:rPr>
                      <m:t>=</m:t>
                    </m:r>
                    <m:r>
                      <a:rPr lang="en-US" sz="1000" b="0" i="1">
                        <a:latin typeface="Cambria Math" panose="02040503050406030204" pitchFamily="18" charset="0"/>
                        <a:ea typeface="Cambria Math"/>
                      </a:rPr>
                      <m:t>41</m:t>
                    </m:r>
                    <m:r>
                      <a:rPr lang="en-US" sz="1000" b="0" i="1">
                        <a:latin typeface="Cambria Math" panose="02040503050406030204" pitchFamily="18" charset="0"/>
                        <a:ea typeface="Cambria Math"/>
                      </a:rPr>
                      <m:t>.</m:t>
                    </m:r>
                    <m:r>
                      <a:rPr lang="en-US" sz="1000" b="0" i="1">
                        <a:latin typeface="Cambria Math" panose="02040503050406030204" pitchFamily="18" charset="0"/>
                        <a:ea typeface="Cambria Math"/>
                      </a:rPr>
                      <m:t>88</m:t>
                    </m:r>
                    <m:r>
                      <a:rPr lang="en-US" sz="1000" b="0" i="1">
                        <a:latin typeface="Cambria Math"/>
                        <a:ea typeface="Cambria Math"/>
                      </a:rPr>
                      <m:t> </m:t>
                    </m:r>
                    <m:r>
                      <a:rPr lang="en-US" sz="1000" b="0" i="1">
                        <a:latin typeface="Cambria Math"/>
                        <a:ea typeface="Cambria Math"/>
                      </a:rPr>
                      <m:t>𝑎𝑚𝑝𝑠</m:t>
                    </m:r>
                  </m:oMath>
                </m:oMathPara>
              </a14:m>
              <a:endParaRPr lang="en-US" sz="1000" b="0"/>
            </a:p>
          </xdr:txBody>
        </xdr:sp>
      </mc:Choice>
      <mc:Fallback xmlns="">
        <xdr:sp macro="" textlink="">
          <xdr:nvSpPr>
            <xdr:cNvPr id="25" name="TextBox 14">
              <a:extLst>
                <a:ext uri="{FF2B5EF4-FFF2-40B4-BE49-F238E27FC236}">
                  <a16:creationId xmlns:a16="http://schemas.microsoft.com/office/drawing/2014/main" id="{30802B8F-B260-4451-9E60-C9EDDAFADA3B}"/>
                </a:ext>
              </a:extLst>
            </xdr:cNvPr>
            <xdr:cNvSpPr txBox="1"/>
          </xdr:nvSpPr>
          <xdr:spPr>
            <a:xfrm>
              <a:off x="2333387" y="42308334"/>
              <a:ext cx="5321991" cy="408067"/>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pPr/>
              <a:r>
                <a:rPr lang="en-US" sz="1000" b="0" i="0">
                  <a:latin typeface="Cambria Math"/>
                </a:rPr>
                <a:t>𝐼</a:t>
              </a:r>
              <a:r>
                <a:rPr lang="en-US" sz="1000" b="0" i="0">
                  <a:latin typeface="Cambria Math" panose="02040503050406030204" pitchFamily="18" charset="0"/>
                </a:rPr>
                <a:t>_(</a:t>
              </a:r>
              <a:r>
                <a:rPr lang="en-US" sz="1000" b="0" i="0">
                  <a:latin typeface="Cambria Math"/>
                </a:rPr>
                <a:t>𝑅𝐴𝑇𝐸𝐷 𝐹𝑈𝑁𝐷𝐴𝑀𝐸𝑁𝑇𝐴𝐿</a:t>
              </a:r>
              <a:r>
                <a:rPr lang="en-US" sz="1000" b="0" i="0">
                  <a:latin typeface="Cambria Math" panose="02040503050406030204" pitchFamily="18" charset="0"/>
                </a:rPr>
                <a:t>)</a:t>
              </a:r>
              <a:r>
                <a:rPr lang="en-US" sz="1000" b="0" i="0">
                  <a:latin typeface="Cambria Math"/>
                  <a:ea typeface="Cambria Math"/>
                </a:rPr>
                <a:t>= </a:t>
              </a:r>
              <a:r>
                <a:rPr lang="en-US" sz="1000" b="0" i="0">
                  <a:solidFill>
                    <a:schemeClr val="tx1"/>
                  </a:solidFill>
                  <a:effectLst/>
                  <a:latin typeface="Cambria Math" panose="02040503050406030204" pitchFamily="18" charset="0"/>
                </a:rPr>
                <a:t> </a:t>
              </a:r>
              <a:r>
                <a:rPr lang="en-US" sz="1000" b="0" i="0">
                  <a:solidFill>
                    <a:schemeClr val="tx1"/>
                  </a:solidFill>
                  <a:effectLst/>
                  <a:latin typeface="Cambria Math"/>
                </a:rPr>
                <a:t>𝑄</a:t>
              </a:r>
              <a:r>
                <a:rPr lang="en-US" sz="1000" b="0" i="0">
                  <a:solidFill>
                    <a:schemeClr val="tx1"/>
                  </a:solidFill>
                  <a:effectLst/>
                  <a:latin typeface="Cambria Math" panose="02040503050406030204" pitchFamily="18" charset="0"/>
                </a:rPr>
                <a:t>_</a:t>
              </a:r>
              <a:r>
                <a:rPr lang="en-US" sz="1000" b="0" i="0">
                  <a:solidFill>
                    <a:schemeClr val="tx1"/>
                  </a:solidFill>
                  <a:effectLst/>
                  <a:latin typeface="Cambria Math"/>
                </a:rPr>
                <a:t>𝑒𝑓𝑓</a:t>
              </a:r>
              <a:r>
                <a:rPr lang="en-US" sz="1000" b="0" i="0">
                  <a:solidFill>
                    <a:schemeClr val="tx1"/>
                  </a:solidFill>
                  <a:effectLst/>
                  <a:latin typeface="Cambria Math" panose="02040503050406030204" pitchFamily="18" charset="0"/>
                  <a:ea typeface="Cambria Math"/>
                </a:rPr>
                <a:t>/(</a:t>
              </a:r>
              <a:r>
                <a:rPr lang="en-US" sz="1000" b="0" i="0">
                  <a:latin typeface="Cambria Math"/>
                  <a:ea typeface="Cambria Math"/>
                </a:rPr>
                <a:t>1.73×</a:t>
              </a:r>
              <a:r>
                <a:rPr lang="en-US" sz="1100" b="0" i="0" kern="1200">
                  <a:solidFill>
                    <a:schemeClr val="tx1"/>
                  </a:solidFill>
                  <a:effectLst/>
                  <a:latin typeface="Cambria Math" panose="02040503050406030204" pitchFamily="18" charset="0"/>
                  <a:ea typeface="+mn-ea"/>
                  <a:cs typeface="+mn-cs"/>
                </a:rPr>
                <a:t>〖𝑘𝑉〗_𝐿𝐿𝑆𝑌𝑆 </a:t>
              </a:r>
              <a:r>
                <a:rPr lang="en-US" sz="1000" b="0" i="0" kern="1200">
                  <a:solidFill>
                    <a:schemeClr val="tx1"/>
                  </a:solidFill>
                  <a:effectLst/>
                  <a:latin typeface="Cambria Math" panose="02040503050406030204" pitchFamily="18" charset="0"/>
                  <a:ea typeface="Cambria Math"/>
                  <a:cs typeface="+mn-cs"/>
                </a:rPr>
                <a:t>)</a:t>
              </a:r>
              <a:r>
                <a:rPr lang="en-US" sz="1000" b="0" i="0">
                  <a:latin typeface="Cambria Math"/>
                  <a:ea typeface="Cambria Math"/>
                </a:rPr>
                <a:t>×1000=</a:t>
              </a:r>
              <a:r>
                <a:rPr lang="en-US" sz="1000" b="0" i="0">
                  <a:latin typeface="Cambria Math" panose="02040503050406030204" pitchFamily="18" charset="0"/>
                  <a:ea typeface="Cambria Math"/>
                </a:rPr>
                <a:t>1.0/(</a:t>
              </a:r>
              <a:r>
                <a:rPr lang="en-US" sz="1000" i="0">
                  <a:latin typeface="Cambria Math"/>
                  <a:ea typeface="Cambria Math"/>
                </a:rPr>
                <a:t>1.73×</a:t>
              </a:r>
              <a:r>
                <a:rPr lang="en-US" sz="1000" b="0" i="0">
                  <a:latin typeface="Cambria Math"/>
                  <a:ea typeface="Cambria Math"/>
                </a:rPr>
                <a:t>13.8</a:t>
              </a:r>
              <a:r>
                <a:rPr lang="en-US" sz="1000" b="0" i="0">
                  <a:latin typeface="Cambria Math" panose="02040503050406030204" pitchFamily="18" charset="0"/>
                  <a:ea typeface="Cambria Math"/>
                </a:rPr>
                <a:t>)</a:t>
              </a:r>
              <a:r>
                <a:rPr lang="en-US" sz="1000" i="0">
                  <a:latin typeface="Cambria Math"/>
                  <a:ea typeface="Cambria Math"/>
                </a:rPr>
                <a:t>×1000</a:t>
              </a:r>
              <a:r>
                <a:rPr lang="en-US" sz="1000" b="0" i="0">
                  <a:latin typeface="Cambria Math"/>
                  <a:ea typeface="Cambria Math"/>
                </a:rPr>
                <a:t>=</a:t>
              </a:r>
              <a:r>
                <a:rPr lang="en-US" sz="1000" b="0" i="0">
                  <a:latin typeface="Cambria Math" panose="02040503050406030204" pitchFamily="18" charset="0"/>
                  <a:ea typeface="Cambria Math"/>
                </a:rPr>
                <a:t>41.88</a:t>
              </a:r>
              <a:r>
                <a:rPr lang="en-US" sz="1000" b="0" i="0">
                  <a:latin typeface="Cambria Math"/>
                  <a:ea typeface="Cambria Math"/>
                </a:rPr>
                <a:t> 𝑎𝑚𝑝𝑠</a:t>
              </a:r>
              <a:endParaRPr lang="en-US" sz="1000" b="0"/>
            </a:p>
          </xdr:txBody>
        </xdr:sp>
      </mc:Fallback>
    </mc:AlternateContent>
    <xdr:clientData/>
  </xdr:twoCellAnchor>
  <xdr:twoCellAnchor>
    <xdr:from>
      <xdr:col>12</xdr:col>
      <xdr:colOff>167484</xdr:colOff>
      <xdr:row>186</xdr:row>
      <xdr:rowOff>217596</xdr:rowOff>
    </xdr:from>
    <xdr:to>
      <xdr:col>30</xdr:col>
      <xdr:colOff>104122</xdr:colOff>
      <xdr:row>188</xdr:row>
      <xdr:rowOff>125320</xdr:rowOff>
    </xdr:to>
    <mc:AlternateContent xmlns:mc="http://schemas.openxmlformats.org/markup-compatibility/2006" xmlns:a14="http://schemas.microsoft.com/office/drawing/2010/main">
      <mc:Choice Requires="a14">
        <xdr:sp macro="" textlink="">
          <xdr:nvSpPr>
            <xdr:cNvPr id="26" name="TextBox 13">
              <a:extLst>
                <a:ext uri="{FF2B5EF4-FFF2-40B4-BE49-F238E27FC236}">
                  <a16:creationId xmlns:a16="http://schemas.microsoft.com/office/drawing/2014/main" id="{15FF1B80-D53E-4045-8FEB-D6E12D8FBA1A}"/>
                </a:ext>
              </a:extLst>
            </xdr:cNvPr>
            <xdr:cNvSpPr txBox="1"/>
          </xdr:nvSpPr>
          <xdr:spPr>
            <a:xfrm>
              <a:off x="2339184" y="42737196"/>
              <a:ext cx="3194188" cy="36492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14:m>
                <m:oMath xmlns:m="http://schemas.openxmlformats.org/officeDocument/2006/math">
                  <m:sSub>
                    <m:sSubPr>
                      <m:ctrlPr>
                        <a:rPr lang="en-US" sz="1000" b="0" i="1">
                          <a:latin typeface="Cambria Math" panose="02040503050406030204" pitchFamily="18" charset="0"/>
                        </a:rPr>
                      </m:ctrlPr>
                    </m:sSubPr>
                    <m:e>
                      <m:r>
                        <a:rPr lang="en-US" sz="1000" b="0" i="1">
                          <a:latin typeface="Cambria Math"/>
                        </a:rPr>
                        <m:t>𝐼</m:t>
                      </m:r>
                    </m:e>
                    <m:sub>
                      <m:r>
                        <a:rPr lang="en-US" sz="1000" b="0" i="1">
                          <a:latin typeface="Cambria Math"/>
                        </a:rPr>
                        <m:t>𝐹𝐼𝐿𝑇𝐸𝑅</m:t>
                      </m:r>
                      <m:r>
                        <a:rPr lang="en-US" sz="1000" b="0" i="1">
                          <a:latin typeface="Cambria Math"/>
                        </a:rPr>
                        <m:t> </m:t>
                      </m:r>
                      <m:r>
                        <a:rPr lang="en-US" sz="1000" b="0" i="1">
                          <a:latin typeface="Cambria Math"/>
                        </a:rPr>
                        <m:t>𝑅𝑀𝑆</m:t>
                      </m:r>
                      <m:r>
                        <a:rPr lang="en-US" sz="1000" b="0" i="1">
                          <a:latin typeface="Cambria Math"/>
                        </a:rPr>
                        <m:t> </m:t>
                      </m:r>
                      <m:r>
                        <a:rPr lang="en-US" sz="1000" b="0" i="1">
                          <a:latin typeface="Cambria Math"/>
                        </a:rPr>
                        <m:t>𝐶𝑈𝑅𝑅𝐸𝑁𝑇</m:t>
                      </m:r>
                    </m:sub>
                  </m:sSub>
                  <m:r>
                    <a:rPr lang="en-US" sz="1000" b="0" i="1">
                      <a:latin typeface="Cambria Math"/>
                      <a:ea typeface="Cambria Math"/>
                    </a:rPr>
                    <m:t>=</m:t>
                  </m:r>
                  <m:rad>
                    <m:radPr>
                      <m:degHide m:val="on"/>
                      <m:ctrlPr>
                        <a:rPr lang="en-US" sz="1000" b="0" i="1">
                          <a:latin typeface="Cambria Math" panose="02040503050406030204" pitchFamily="18" charset="0"/>
                          <a:ea typeface="Cambria Math"/>
                        </a:rPr>
                      </m:ctrlPr>
                    </m:radPr>
                    <m:deg/>
                    <m:e>
                      <m:nary>
                        <m:naryPr>
                          <m:chr m:val="∑"/>
                          <m:ctrlPr>
                            <a:rPr lang="en-US" sz="1000" b="0" i="1">
                              <a:latin typeface="Cambria Math" panose="02040503050406030204" pitchFamily="18" charset="0"/>
                              <a:ea typeface="Cambria Math"/>
                            </a:rPr>
                          </m:ctrlPr>
                        </m:naryPr>
                        <m:sub>
                          <m:r>
                            <m:rPr>
                              <m:brk m:alnAt="23"/>
                            </m:rPr>
                            <a:rPr lang="en-US" sz="1000" b="0" i="1">
                              <a:latin typeface="Cambria Math"/>
                              <a:ea typeface="Cambria Math"/>
                            </a:rPr>
                            <m:t>𝑛</m:t>
                          </m:r>
                          <m:r>
                            <a:rPr lang="en-US" sz="1000" b="0" i="1">
                              <a:latin typeface="Cambria Math"/>
                              <a:ea typeface="Cambria Math"/>
                            </a:rPr>
                            <m:t>=</m:t>
                          </m:r>
                          <m:r>
                            <a:rPr lang="en-US" sz="1000" b="0" i="1">
                              <a:latin typeface="Cambria Math"/>
                              <a:ea typeface="Cambria Math"/>
                            </a:rPr>
                            <m:t>1</m:t>
                          </m:r>
                        </m:sub>
                        <m:sup>
                          <m:r>
                            <a:rPr lang="en-US" sz="1000" b="0" i="1">
                              <a:latin typeface="Cambria Math"/>
                              <a:ea typeface="Cambria Math"/>
                            </a:rPr>
                            <m:t>𝑛</m:t>
                          </m:r>
                        </m:sup>
                        <m:e>
                          <m:sSubSup>
                            <m:sSubSupPr>
                              <m:ctrlPr>
                                <a:rPr lang="en-US" sz="1100" b="0" i="1" kern="1200">
                                  <a:solidFill>
                                    <a:schemeClr val="tx1"/>
                                  </a:solidFill>
                                  <a:effectLst/>
                                  <a:latin typeface="Cambria Math" panose="02040503050406030204" pitchFamily="18" charset="0"/>
                                  <a:ea typeface="+mn-ea"/>
                                  <a:cs typeface="+mn-cs"/>
                                </a:rPr>
                              </m:ctrlPr>
                            </m:sSubSupPr>
                            <m:e>
                              <m:r>
                                <a:rPr lang="en-US" sz="1100" b="0" i="1" kern="1200">
                                  <a:solidFill>
                                    <a:schemeClr val="tx1"/>
                                  </a:solidFill>
                                  <a:effectLst/>
                                  <a:latin typeface="Cambria Math" panose="02040503050406030204" pitchFamily="18" charset="0"/>
                                  <a:ea typeface="+mn-ea"/>
                                  <a:cs typeface="+mn-cs"/>
                                </a:rPr>
                                <m:t>𝐼</m:t>
                              </m:r>
                            </m:e>
                            <m:sub>
                              <m:r>
                                <a:rPr lang="en-US" sz="1100" b="0" i="1" kern="1200">
                                  <a:solidFill>
                                    <a:schemeClr val="tx1"/>
                                  </a:solidFill>
                                  <a:effectLst/>
                                  <a:latin typeface="Cambria Math" panose="02040503050406030204" pitchFamily="18" charset="0"/>
                                  <a:ea typeface="+mn-ea"/>
                                  <a:cs typeface="+mn-cs"/>
                                </a:rPr>
                                <m:t>𝑛</m:t>
                              </m:r>
                            </m:sub>
                            <m:sup>
                              <m:r>
                                <a:rPr lang="en-US" sz="1100" b="0" i="1" kern="1200">
                                  <a:solidFill>
                                    <a:schemeClr val="tx1"/>
                                  </a:solidFill>
                                  <a:effectLst/>
                                  <a:latin typeface="Cambria Math" panose="02040503050406030204" pitchFamily="18" charset="0"/>
                                  <a:ea typeface="+mn-ea"/>
                                  <a:cs typeface="+mn-cs"/>
                                </a:rPr>
                                <m:t>2</m:t>
                              </m:r>
                            </m:sup>
                          </m:sSubSup>
                        </m:e>
                      </m:nary>
                    </m:e>
                  </m:rad>
                </m:oMath>
              </a14:m>
              <a:r>
                <a:rPr lang="en-US" sz="1000" b="0"/>
                <a:t> </a:t>
              </a:r>
            </a:p>
          </xdr:txBody>
        </xdr:sp>
      </mc:Choice>
      <mc:Fallback xmlns="">
        <xdr:sp macro="" textlink="">
          <xdr:nvSpPr>
            <xdr:cNvPr id="26" name="TextBox 13">
              <a:extLst>
                <a:ext uri="{FF2B5EF4-FFF2-40B4-BE49-F238E27FC236}">
                  <a16:creationId xmlns:a16="http://schemas.microsoft.com/office/drawing/2014/main" id="{15FF1B80-D53E-4045-8FEB-D6E12D8FBA1A}"/>
                </a:ext>
              </a:extLst>
            </xdr:cNvPr>
            <xdr:cNvSpPr txBox="1"/>
          </xdr:nvSpPr>
          <xdr:spPr>
            <a:xfrm>
              <a:off x="2339184" y="42737196"/>
              <a:ext cx="3194188" cy="36492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defPPr>
                <a:defRPr lang="en-US"/>
              </a:defPPr>
              <a:lvl1pPr marL="0" indent="0" algn="l" defTabSz="731520" rtl="0" eaLnBrk="1" latinLnBrk="0" hangingPunct="1">
                <a:defRPr sz="1100" kern="1200">
                  <a:solidFill>
                    <a:schemeClr val="tx1"/>
                  </a:solidFill>
                  <a:latin typeface="+mn-lt"/>
                  <a:ea typeface="+mn-ea"/>
                  <a:cs typeface="+mn-cs"/>
                </a:defRPr>
              </a:lvl1pPr>
              <a:lvl2pPr marL="457200" indent="0" algn="l" defTabSz="731520" rtl="0" eaLnBrk="1" latinLnBrk="0" hangingPunct="1">
                <a:defRPr sz="1100" kern="1200">
                  <a:solidFill>
                    <a:schemeClr val="tx1"/>
                  </a:solidFill>
                  <a:latin typeface="+mn-lt"/>
                  <a:ea typeface="+mn-ea"/>
                  <a:cs typeface="+mn-cs"/>
                </a:defRPr>
              </a:lvl2pPr>
              <a:lvl3pPr marL="914400" indent="0" algn="l" defTabSz="731520" rtl="0" eaLnBrk="1" latinLnBrk="0" hangingPunct="1">
                <a:defRPr sz="1100" kern="1200">
                  <a:solidFill>
                    <a:schemeClr val="tx1"/>
                  </a:solidFill>
                  <a:latin typeface="+mn-lt"/>
                  <a:ea typeface="+mn-ea"/>
                  <a:cs typeface="+mn-cs"/>
                </a:defRPr>
              </a:lvl3pPr>
              <a:lvl4pPr marL="1371600" indent="0" algn="l" defTabSz="731520" rtl="0" eaLnBrk="1" latinLnBrk="0" hangingPunct="1">
                <a:defRPr sz="1100" kern="1200">
                  <a:solidFill>
                    <a:schemeClr val="tx1"/>
                  </a:solidFill>
                  <a:latin typeface="+mn-lt"/>
                  <a:ea typeface="+mn-ea"/>
                  <a:cs typeface="+mn-cs"/>
                </a:defRPr>
              </a:lvl4pPr>
              <a:lvl5pPr marL="1828800" indent="0" algn="l" defTabSz="731520" rtl="0" eaLnBrk="1" latinLnBrk="0" hangingPunct="1">
                <a:defRPr sz="1100" kern="1200">
                  <a:solidFill>
                    <a:schemeClr val="tx1"/>
                  </a:solidFill>
                  <a:latin typeface="+mn-lt"/>
                  <a:ea typeface="+mn-ea"/>
                  <a:cs typeface="+mn-cs"/>
                </a:defRPr>
              </a:lvl5pPr>
              <a:lvl6pPr marL="2286000" indent="0" algn="l" defTabSz="731520" rtl="0" eaLnBrk="1" latinLnBrk="0" hangingPunct="1">
                <a:defRPr sz="1100" kern="1200">
                  <a:solidFill>
                    <a:schemeClr val="tx1"/>
                  </a:solidFill>
                  <a:latin typeface="+mn-lt"/>
                  <a:ea typeface="+mn-ea"/>
                  <a:cs typeface="+mn-cs"/>
                </a:defRPr>
              </a:lvl6pPr>
              <a:lvl7pPr marL="2743200" indent="0" algn="l" defTabSz="731520" rtl="0" eaLnBrk="1" latinLnBrk="0" hangingPunct="1">
                <a:defRPr sz="1100" kern="1200">
                  <a:solidFill>
                    <a:schemeClr val="tx1"/>
                  </a:solidFill>
                  <a:latin typeface="+mn-lt"/>
                  <a:ea typeface="+mn-ea"/>
                  <a:cs typeface="+mn-cs"/>
                </a:defRPr>
              </a:lvl7pPr>
              <a:lvl8pPr marL="3200400" indent="0" algn="l" defTabSz="731520" rtl="0" eaLnBrk="1" latinLnBrk="0" hangingPunct="1">
                <a:defRPr sz="1100" kern="1200">
                  <a:solidFill>
                    <a:schemeClr val="tx1"/>
                  </a:solidFill>
                  <a:latin typeface="+mn-lt"/>
                  <a:ea typeface="+mn-ea"/>
                  <a:cs typeface="+mn-cs"/>
                </a:defRPr>
              </a:lvl8pPr>
              <a:lvl9pPr marL="3657600" indent="0" algn="l" defTabSz="731520" rtl="0" eaLnBrk="1" latinLnBrk="0" hangingPunct="1">
                <a:defRPr sz="1100" kern="1200">
                  <a:solidFill>
                    <a:schemeClr val="tx1"/>
                  </a:solidFill>
                  <a:latin typeface="+mn-lt"/>
                  <a:ea typeface="+mn-ea"/>
                  <a:cs typeface="+mn-cs"/>
                </a:defRPr>
              </a:lvl9pPr>
            </a:lstStyle>
            <a:p>
              <a:r>
                <a:rPr lang="en-US" sz="1000" b="0" i="0">
                  <a:latin typeface="Cambria Math"/>
                </a:rPr>
                <a:t>𝐼</a:t>
              </a:r>
              <a:r>
                <a:rPr lang="en-US" sz="1000" b="0" i="0">
                  <a:latin typeface="Cambria Math" panose="02040503050406030204" pitchFamily="18" charset="0"/>
                </a:rPr>
                <a:t>_(</a:t>
              </a:r>
              <a:r>
                <a:rPr lang="en-US" sz="1000" b="0" i="0">
                  <a:latin typeface="Cambria Math"/>
                </a:rPr>
                <a:t>𝐹𝐼𝐿𝑇𝐸𝑅 𝑅𝑀𝑆 𝐶𝑈𝑅𝑅𝐸𝑁𝑇</a:t>
              </a:r>
              <a:r>
                <a:rPr lang="en-US" sz="1000" b="0" i="0">
                  <a:latin typeface="Cambria Math" panose="02040503050406030204" pitchFamily="18" charset="0"/>
                </a:rPr>
                <a:t>)</a:t>
              </a:r>
              <a:r>
                <a:rPr lang="en-US" sz="1000" b="0" i="0">
                  <a:latin typeface="Cambria Math"/>
                  <a:ea typeface="Cambria Math"/>
                </a:rPr>
                <a:t>=</a:t>
              </a:r>
              <a:r>
                <a:rPr lang="en-US" sz="1000" b="0" i="0">
                  <a:latin typeface="Cambria Math" panose="02040503050406030204" pitchFamily="18" charset="0"/>
                  <a:ea typeface="Cambria Math"/>
                </a:rPr>
                <a:t>√(∑_(</a:t>
              </a:r>
              <a:r>
                <a:rPr lang="en-US" sz="1000" b="0" i="0">
                  <a:latin typeface="Cambria Math"/>
                  <a:ea typeface="Cambria Math"/>
                </a:rPr>
                <a:t>𝑛=1</a:t>
              </a:r>
              <a:r>
                <a:rPr lang="en-US" sz="1000" b="0" i="0">
                  <a:latin typeface="Cambria Math" panose="02040503050406030204" pitchFamily="18" charset="0"/>
                  <a:ea typeface="Cambria Math"/>
                </a:rPr>
                <a:t>)^</a:t>
              </a:r>
              <a:r>
                <a:rPr lang="en-US" sz="1000" b="0" i="0">
                  <a:latin typeface="Cambria Math"/>
                  <a:ea typeface="Cambria Math"/>
                </a:rPr>
                <a:t>𝑛</a:t>
              </a:r>
              <a:r>
                <a:rPr lang="en-US" sz="1100" b="0" i="0" kern="1200">
                  <a:solidFill>
                    <a:schemeClr val="tx1"/>
                  </a:solidFill>
                  <a:effectLst/>
                  <a:latin typeface="Cambria Math" panose="02040503050406030204" pitchFamily="18" charset="0"/>
                  <a:ea typeface="+mn-ea"/>
                  <a:cs typeface="+mn-cs"/>
                </a:rPr>
                <a:t>▒𝐼_𝑛^2 </a:t>
              </a:r>
              <a:r>
                <a:rPr lang="en-US" sz="1000" b="0" i="0" kern="1200">
                  <a:solidFill>
                    <a:schemeClr val="tx1"/>
                  </a:solidFill>
                  <a:effectLst/>
                  <a:latin typeface="Cambria Math" panose="02040503050406030204" pitchFamily="18" charset="0"/>
                  <a:ea typeface="Cambria Math"/>
                  <a:cs typeface="+mn-cs"/>
                </a:rPr>
                <a:t>)</a:t>
              </a:r>
              <a:r>
                <a:rPr lang="en-US" sz="1000" b="0"/>
                <a:t> </a:t>
              </a:r>
            </a:p>
          </xdr:txBody>
        </xdr:sp>
      </mc:Fallback>
    </mc:AlternateContent>
    <xdr:clientData/>
  </xdr:twoCellAnchor>
  <xdr:twoCellAnchor>
    <xdr:from>
      <xdr:col>13</xdr:col>
      <xdr:colOff>70994</xdr:colOff>
      <xdr:row>189</xdr:row>
      <xdr:rowOff>98978</xdr:rowOff>
    </xdr:from>
    <xdr:to>
      <xdr:col>25</xdr:col>
      <xdr:colOff>145537</xdr:colOff>
      <xdr:row>190</xdr:row>
      <xdr:rowOff>64404</xdr:rowOff>
    </xdr:to>
    <mc:AlternateContent xmlns:mc="http://schemas.openxmlformats.org/markup-compatibility/2006" xmlns:a14="http://schemas.microsoft.com/office/drawing/2010/main">
      <mc:Choice Requires="a14">
        <xdr:sp macro="" textlink="">
          <xdr:nvSpPr>
            <xdr:cNvPr id="27" name="TextBox 39">
              <a:extLst>
                <a:ext uri="{FF2B5EF4-FFF2-40B4-BE49-F238E27FC236}">
                  <a16:creationId xmlns:a16="http://schemas.microsoft.com/office/drawing/2014/main" id="{3B6F6B07-29F4-4736-81D1-FDC4DA19207B}"/>
                </a:ext>
              </a:extLst>
            </xdr:cNvPr>
            <xdr:cNvSpPr txBox="1"/>
          </xdr:nvSpPr>
          <xdr:spPr>
            <a:xfrm>
              <a:off x="2423669" y="43304378"/>
              <a:ext cx="2246243" cy="194026"/>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00">
                  <a:solidFill>
                    <a:sysClr val="windowText" lastClr="000000"/>
                  </a:solidFill>
                </a:rPr>
                <a:t>R</a:t>
              </a:r>
              <a14:m>
                <m:oMath xmlns:m="http://schemas.openxmlformats.org/officeDocument/2006/math">
                  <m:r>
                    <a:rPr lang="en-US" sz="1000" i="1">
                      <a:solidFill>
                        <a:sysClr val="windowText" lastClr="000000"/>
                      </a:solidFill>
                      <a:latin typeface="Cambria Math" panose="02040503050406030204" pitchFamily="18" charset="0"/>
                    </a:rPr>
                    <m:t>=</m:t>
                  </m:r>
                  <m:r>
                    <a:rPr lang="en-US" sz="1000" b="0" i="1">
                      <a:solidFill>
                        <a:sysClr val="windowText" lastClr="000000"/>
                      </a:solidFill>
                      <a:latin typeface="Cambria Math" panose="02040503050406030204" pitchFamily="18" charset="0"/>
                    </a:rPr>
                    <m:t>𝐷𝐹</m:t>
                  </m:r>
                  <m:r>
                    <a:rPr lang="en-US" sz="1000" b="0" i="1">
                      <a:solidFill>
                        <a:sysClr val="windowText" lastClr="000000"/>
                      </a:solidFill>
                      <a:latin typeface="Cambria Math" panose="02040503050406030204" pitchFamily="18" charset="0"/>
                      <a:ea typeface="Cambria Math" panose="02040503050406030204" pitchFamily="18" charset="0"/>
                    </a:rPr>
                    <m:t>×</m:t>
                  </m:r>
                  <m:sSub>
                    <m:sSubPr>
                      <m:ctrlPr>
                        <a:rPr lang="en-US" sz="1000" b="0" i="1">
                          <a:solidFill>
                            <a:sysClr val="windowText" lastClr="000000"/>
                          </a:solidFill>
                          <a:latin typeface="Cambria Math" panose="02040503050406030204" pitchFamily="18" charset="0"/>
                          <a:ea typeface="Cambria Math" panose="02040503050406030204" pitchFamily="18" charset="0"/>
                        </a:rPr>
                      </m:ctrlPr>
                    </m:sSubPr>
                    <m:e>
                      <m:r>
                        <a:rPr lang="en-US" sz="1000" b="0" i="1">
                          <a:solidFill>
                            <a:sysClr val="windowText" lastClr="000000"/>
                          </a:solidFill>
                          <a:latin typeface="Cambria Math" panose="02040503050406030204" pitchFamily="18" charset="0"/>
                          <a:ea typeface="Cambria Math" panose="02040503050406030204" pitchFamily="18" charset="0"/>
                        </a:rPr>
                        <m:t>𝑥</m:t>
                      </m:r>
                    </m:e>
                    <m:sub>
                      <m:r>
                        <a:rPr lang="en-US" sz="1000" b="0" i="1">
                          <a:solidFill>
                            <a:sysClr val="windowText" lastClr="000000"/>
                          </a:solidFill>
                          <a:latin typeface="Cambria Math" panose="02040503050406030204" pitchFamily="18" charset="0"/>
                          <a:ea typeface="Cambria Math" panose="02040503050406030204" pitchFamily="18" charset="0"/>
                        </a:rPr>
                        <m:t>𝐿</m:t>
                      </m:r>
                    </m:sub>
                  </m:sSub>
                  <m:r>
                    <a:rPr lang="en-US" sz="1000" b="0" i="1">
                      <a:solidFill>
                        <a:sysClr val="windowText" lastClr="000000"/>
                      </a:solidFill>
                      <a:latin typeface="Cambria Math" panose="02040503050406030204" pitchFamily="18" charset="0"/>
                      <a:ea typeface="Cambria Math" panose="02040503050406030204" pitchFamily="18" charset="0"/>
                    </a:rPr>
                    <m:t>×</m:t>
                  </m:r>
                  <m:r>
                    <a:rPr lang="en-US" sz="1000" b="0" i="1">
                      <a:solidFill>
                        <a:sysClr val="windowText" lastClr="000000"/>
                      </a:solidFill>
                      <a:latin typeface="Cambria Math" panose="02040503050406030204" pitchFamily="18" charset="0"/>
                      <a:ea typeface="Cambria Math" panose="02040503050406030204" pitchFamily="18" charset="0"/>
                    </a:rPr>
                    <m:t>h</m:t>
                  </m:r>
                  <m:r>
                    <a:rPr lang="en-US" sz="1000" b="0" i="1">
                      <a:solidFill>
                        <a:sysClr val="windowText" lastClr="000000"/>
                      </a:solidFill>
                      <a:latin typeface="Cambria Math" panose="02040503050406030204" pitchFamily="18" charset="0"/>
                      <a:ea typeface="Cambria Math" panose="02040503050406030204" pitchFamily="18" charset="0"/>
                    </a:rPr>
                    <m:t> (</m:t>
                  </m:r>
                  <m:r>
                    <a:rPr lang="en-US" sz="1000" b="0" i="1">
                      <a:solidFill>
                        <a:sysClr val="windowText" lastClr="000000"/>
                      </a:solidFill>
                      <a:latin typeface="Cambria Math" panose="02040503050406030204" pitchFamily="18" charset="0"/>
                      <a:ea typeface="Cambria Math" panose="02040503050406030204" pitchFamily="18" charset="0"/>
                    </a:rPr>
                    <m:t>𝑜</m:t>
                  </m:r>
                  <m:r>
                    <a:rPr lang="en-US" sz="1000" b="0" i="1">
                      <a:solidFill>
                        <a:sysClr val="windowText" lastClr="000000"/>
                      </a:solidFill>
                      <a:latin typeface="Cambria Math" panose="02040503050406030204" pitchFamily="18" charset="0"/>
                      <a:ea typeface="Cambria Math" panose="02040503050406030204" pitchFamily="18" charset="0"/>
                    </a:rPr>
                    <m:t>h</m:t>
                  </m:r>
                  <m:r>
                    <a:rPr lang="en-US" sz="1000" b="0" i="1">
                      <a:solidFill>
                        <a:sysClr val="windowText" lastClr="000000"/>
                      </a:solidFill>
                      <a:latin typeface="Cambria Math" panose="02040503050406030204" pitchFamily="18" charset="0"/>
                      <a:ea typeface="Cambria Math" panose="02040503050406030204" pitchFamily="18" charset="0"/>
                    </a:rPr>
                    <m:t>𝑚𝑠</m:t>
                  </m:r>
                  <m:r>
                    <a:rPr lang="en-US" sz="1000" b="0" i="1">
                      <a:solidFill>
                        <a:sysClr val="windowText" lastClr="000000"/>
                      </a:solidFill>
                      <a:latin typeface="Cambria Math" panose="02040503050406030204" pitchFamily="18" charset="0"/>
                      <a:ea typeface="Cambria Math" panose="02040503050406030204" pitchFamily="18" charset="0"/>
                    </a:rPr>
                    <m:t>)</m:t>
                  </m:r>
                </m:oMath>
              </a14:m>
              <a:endParaRPr lang="en-US" sz="1000">
                <a:solidFill>
                  <a:sysClr val="windowText" lastClr="000000"/>
                </a:solidFill>
              </a:endParaRPr>
            </a:p>
          </xdr:txBody>
        </xdr:sp>
      </mc:Choice>
      <mc:Fallback xmlns="">
        <xdr:sp macro="" textlink="">
          <xdr:nvSpPr>
            <xdr:cNvPr id="27" name="TextBox 39">
              <a:extLst>
                <a:ext uri="{FF2B5EF4-FFF2-40B4-BE49-F238E27FC236}">
                  <a16:creationId xmlns:a16="http://schemas.microsoft.com/office/drawing/2014/main" id="{3B6F6B07-29F4-4736-81D1-FDC4DA19207B}"/>
                </a:ext>
              </a:extLst>
            </xdr:cNvPr>
            <xdr:cNvSpPr txBox="1"/>
          </xdr:nvSpPr>
          <xdr:spPr>
            <a:xfrm>
              <a:off x="2423669" y="43304378"/>
              <a:ext cx="2246243" cy="194026"/>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00">
                  <a:solidFill>
                    <a:sysClr val="windowText" lastClr="000000"/>
                  </a:solidFill>
                </a:rPr>
                <a:t>R</a:t>
              </a:r>
              <a:r>
                <a:rPr lang="en-US" sz="1000" i="0">
                  <a:solidFill>
                    <a:sysClr val="windowText" lastClr="000000"/>
                  </a:solidFill>
                  <a:latin typeface="Cambria Math" panose="02040503050406030204" pitchFamily="18" charset="0"/>
                </a:rPr>
                <a:t>=</a:t>
              </a:r>
              <a:r>
                <a:rPr lang="en-US" sz="1000" b="0" i="0">
                  <a:solidFill>
                    <a:sysClr val="windowText" lastClr="000000"/>
                  </a:solidFill>
                  <a:latin typeface="Cambria Math" panose="02040503050406030204" pitchFamily="18" charset="0"/>
                </a:rPr>
                <a:t>𝐷𝐹</a:t>
              </a:r>
              <a:r>
                <a:rPr lang="en-US" sz="1000" b="0" i="0">
                  <a:solidFill>
                    <a:sysClr val="windowText" lastClr="000000"/>
                  </a:solidFill>
                  <a:latin typeface="Cambria Math" panose="02040503050406030204" pitchFamily="18" charset="0"/>
                  <a:ea typeface="Cambria Math" panose="02040503050406030204" pitchFamily="18" charset="0"/>
                </a:rPr>
                <a:t>×𝑥_𝐿×ℎ (𝑜ℎ𝑚𝑠)</a:t>
              </a:r>
              <a:endParaRPr lang="en-US" sz="1000">
                <a:solidFill>
                  <a:sysClr val="windowText" lastClr="000000"/>
                </a:solidFill>
              </a:endParaRPr>
            </a:p>
          </xdr:txBody>
        </xdr:sp>
      </mc:Fallback>
    </mc:AlternateContent>
    <xdr:clientData/>
  </xdr:twoCellAnchor>
  <xdr:twoCellAnchor>
    <xdr:from>
      <xdr:col>24</xdr:col>
      <xdr:colOff>65465</xdr:colOff>
      <xdr:row>177</xdr:row>
      <xdr:rowOff>209456</xdr:rowOff>
    </xdr:from>
    <xdr:to>
      <xdr:col>30</xdr:col>
      <xdr:colOff>116549</xdr:colOff>
      <xdr:row>178</xdr:row>
      <xdr:rowOff>226522</xdr:rowOff>
    </xdr:to>
    <mc:AlternateContent xmlns:mc="http://schemas.openxmlformats.org/markup-compatibility/2006" xmlns:a14="http://schemas.microsoft.com/office/drawing/2010/main">
      <mc:Choice Requires="a14">
        <xdr:sp macro="" textlink="">
          <xdr:nvSpPr>
            <xdr:cNvPr id="28" name="TextBox 19">
              <a:extLst>
                <a:ext uri="{FF2B5EF4-FFF2-40B4-BE49-F238E27FC236}">
                  <a16:creationId xmlns:a16="http://schemas.microsoft.com/office/drawing/2014/main" id="{1B0E96A5-0FC3-4EFF-9692-DED65E2B462A}"/>
                </a:ext>
              </a:extLst>
            </xdr:cNvPr>
            <xdr:cNvSpPr txBox="1"/>
          </xdr:nvSpPr>
          <xdr:spPr>
            <a:xfrm>
              <a:off x="4408865" y="40671656"/>
              <a:ext cx="1136934" cy="245666"/>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14:m>
                <m:oMath xmlns:m="http://schemas.openxmlformats.org/officeDocument/2006/math">
                  <m:r>
                    <a:rPr lang="en-US" sz="1050" b="0" i="1">
                      <a:solidFill>
                        <a:sysClr val="windowText" lastClr="000000"/>
                      </a:solidFill>
                      <a:latin typeface="Cambria Math" panose="02040503050406030204" pitchFamily="18" charset="0"/>
                    </a:rPr>
                    <m:t>𝐶</m:t>
                  </m:r>
                  <m:r>
                    <a:rPr lang="en-US" sz="1050" i="1">
                      <a:solidFill>
                        <a:sysClr val="windowText" lastClr="000000"/>
                      </a:solidFill>
                      <a:latin typeface="Cambria Math" panose="02040503050406030204" pitchFamily="18" charset="0"/>
                    </a:rPr>
                    <m:t>=</m:t>
                  </m:r>
                  <m:f>
                    <m:fPr>
                      <m:ctrlPr>
                        <a:rPr lang="en-US" sz="1050" i="1">
                          <a:solidFill>
                            <a:sysClr val="windowText" lastClr="000000"/>
                          </a:solidFill>
                          <a:latin typeface="Cambria Math" panose="02040503050406030204" pitchFamily="18" charset="0"/>
                        </a:rPr>
                      </m:ctrlPr>
                    </m:fPr>
                    <m:num>
                      <m:r>
                        <a:rPr lang="en-US" sz="1050" b="0" i="1">
                          <a:solidFill>
                            <a:sysClr val="windowText" lastClr="000000"/>
                          </a:solidFill>
                          <a:latin typeface="Cambria Math" panose="02040503050406030204" pitchFamily="18" charset="0"/>
                        </a:rPr>
                        <m:t>1</m:t>
                      </m:r>
                    </m:num>
                    <m:den>
                      <m:r>
                        <a:rPr lang="en-US" sz="1050" b="0" i="1">
                          <a:solidFill>
                            <a:sysClr val="windowText" lastClr="000000"/>
                          </a:solidFill>
                          <a:latin typeface="Cambria Math" panose="02040503050406030204" pitchFamily="18" charset="0"/>
                        </a:rPr>
                        <m:t>2</m:t>
                      </m:r>
                      <m:r>
                        <a:rPr lang="en-US" sz="1050" b="0" i="1">
                          <a:solidFill>
                            <a:sysClr val="windowText" lastClr="000000"/>
                          </a:solidFill>
                          <a:latin typeface="Cambria Math" panose="02040503050406030204" pitchFamily="18" charset="0"/>
                          <a:ea typeface="Cambria Math" panose="02040503050406030204" pitchFamily="18" charset="0"/>
                        </a:rPr>
                        <m:t>𝜋</m:t>
                      </m:r>
                      <m:r>
                        <a:rPr lang="en-US" sz="1050" b="0" i="1">
                          <a:solidFill>
                            <a:sysClr val="windowText" lastClr="000000"/>
                          </a:solidFill>
                          <a:latin typeface="Cambria Math" panose="02040503050406030204" pitchFamily="18" charset="0"/>
                          <a:ea typeface="Cambria Math" panose="02040503050406030204" pitchFamily="18" charset="0"/>
                        </a:rPr>
                        <m:t>𝑓</m:t>
                      </m:r>
                      <m:sSub>
                        <m:sSubPr>
                          <m:ctrlPr>
                            <a:rPr lang="en-US" sz="1050" b="0" i="1">
                              <a:solidFill>
                                <a:sysClr val="windowText" lastClr="000000"/>
                              </a:solidFill>
                              <a:latin typeface="Cambria Math" panose="02040503050406030204" pitchFamily="18" charset="0"/>
                              <a:ea typeface="Cambria Math" panose="02040503050406030204" pitchFamily="18" charset="0"/>
                            </a:rPr>
                          </m:ctrlPr>
                        </m:sSubPr>
                        <m:e>
                          <m:r>
                            <a:rPr lang="en-US" sz="1050" b="0" i="1">
                              <a:solidFill>
                                <a:sysClr val="windowText" lastClr="000000"/>
                              </a:solidFill>
                              <a:latin typeface="Cambria Math" panose="02040503050406030204" pitchFamily="18" charset="0"/>
                              <a:ea typeface="Cambria Math" panose="02040503050406030204" pitchFamily="18" charset="0"/>
                            </a:rPr>
                            <m:t>𝑋</m:t>
                          </m:r>
                        </m:e>
                        <m:sub>
                          <m:r>
                            <a:rPr lang="en-US" sz="1050" b="0" i="1">
                              <a:solidFill>
                                <a:sysClr val="windowText" lastClr="000000"/>
                              </a:solidFill>
                              <a:latin typeface="Cambria Math" panose="02040503050406030204" pitchFamily="18" charset="0"/>
                              <a:ea typeface="Cambria Math" panose="02040503050406030204" pitchFamily="18" charset="0"/>
                            </a:rPr>
                            <m:t>𝑐</m:t>
                          </m:r>
                        </m:sub>
                      </m:sSub>
                    </m:den>
                  </m:f>
                </m:oMath>
              </a14:m>
              <a:r>
                <a:rPr lang="en-US" sz="1050">
                  <a:solidFill>
                    <a:sysClr val="windowText" lastClr="000000"/>
                  </a:solidFill>
                </a:rPr>
                <a:t> (f)</a:t>
              </a:r>
            </a:p>
          </xdr:txBody>
        </xdr:sp>
      </mc:Choice>
      <mc:Fallback xmlns="">
        <xdr:sp macro="" textlink="">
          <xdr:nvSpPr>
            <xdr:cNvPr id="28" name="TextBox 19">
              <a:extLst>
                <a:ext uri="{FF2B5EF4-FFF2-40B4-BE49-F238E27FC236}">
                  <a16:creationId xmlns:a16="http://schemas.microsoft.com/office/drawing/2014/main" id="{1B0E96A5-0FC3-4EFF-9692-DED65E2B462A}"/>
                </a:ext>
              </a:extLst>
            </xdr:cNvPr>
            <xdr:cNvSpPr txBox="1"/>
          </xdr:nvSpPr>
          <xdr:spPr>
            <a:xfrm>
              <a:off x="4408865" y="40671656"/>
              <a:ext cx="1136934" cy="245666"/>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r>
                <a:rPr lang="en-US" sz="1050" b="0" i="0">
                  <a:solidFill>
                    <a:sysClr val="windowText" lastClr="000000"/>
                  </a:solidFill>
                  <a:latin typeface="Cambria Math" panose="02040503050406030204" pitchFamily="18" charset="0"/>
                </a:rPr>
                <a:t>𝐶</a:t>
              </a:r>
              <a:r>
                <a:rPr lang="en-US" sz="1050" i="0">
                  <a:solidFill>
                    <a:sysClr val="windowText" lastClr="000000"/>
                  </a:solidFill>
                  <a:latin typeface="Cambria Math" panose="02040503050406030204" pitchFamily="18" charset="0"/>
                </a:rPr>
                <a:t>=</a:t>
              </a:r>
              <a:r>
                <a:rPr lang="en-US" sz="1050" b="0" i="0">
                  <a:solidFill>
                    <a:sysClr val="windowText" lastClr="000000"/>
                  </a:solidFill>
                  <a:latin typeface="Cambria Math" panose="02040503050406030204" pitchFamily="18" charset="0"/>
                </a:rPr>
                <a:t>1/(2</a:t>
              </a:r>
              <a:r>
                <a:rPr lang="en-US" sz="1050" b="0" i="0">
                  <a:solidFill>
                    <a:sysClr val="windowText" lastClr="000000"/>
                  </a:solidFill>
                  <a:latin typeface="Cambria Math" panose="02040503050406030204" pitchFamily="18" charset="0"/>
                  <a:ea typeface="Cambria Math" panose="02040503050406030204" pitchFamily="18" charset="0"/>
                </a:rPr>
                <a:t>𝜋𝑓𝑋_𝑐 )</a:t>
              </a:r>
              <a:r>
                <a:rPr lang="en-US" sz="1050">
                  <a:solidFill>
                    <a:sysClr val="windowText" lastClr="000000"/>
                  </a:solidFill>
                </a:rPr>
                <a:t> (f)</a:t>
              </a:r>
            </a:p>
          </xdr:txBody>
        </xdr:sp>
      </mc:Fallback>
    </mc:AlternateContent>
    <xdr:clientData/>
  </xdr:twoCellAnchor>
  <xdr:twoCellAnchor>
    <xdr:from>
      <xdr:col>22</xdr:col>
      <xdr:colOff>87876</xdr:colOff>
      <xdr:row>175</xdr:row>
      <xdr:rowOff>228425</xdr:rowOff>
    </xdr:from>
    <xdr:to>
      <xdr:col>31</xdr:col>
      <xdr:colOff>79275</xdr:colOff>
      <xdr:row>177</xdr:row>
      <xdr:rowOff>96115</xdr:rowOff>
    </xdr:to>
    <mc:AlternateContent xmlns:mc="http://schemas.openxmlformats.org/markup-compatibility/2006" xmlns:a14="http://schemas.microsoft.com/office/drawing/2010/main">
      <mc:Choice Requires="a14">
        <xdr:sp macro="" textlink="">
          <xdr:nvSpPr>
            <xdr:cNvPr id="29" name="TextBox 34">
              <a:extLst>
                <a:ext uri="{FF2B5EF4-FFF2-40B4-BE49-F238E27FC236}">
                  <a16:creationId xmlns:a16="http://schemas.microsoft.com/office/drawing/2014/main" id="{1FFD8DB0-F137-4162-8649-0B2E8BFAC285}"/>
                </a:ext>
              </a:extLst>
            </xdr:cNvPr>
            <xdr:cNvSpPr txBox="1"/>
          </xdr:nvSpPr>
          <xdr:spPr>
            <a:xfrm>
              <a:off x="4069326" y="40233425"/>
              <a:ext cx="1620174" cy="324890"/>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n-US" sz="1050" b="0" i="1">
                        <a:solidFill>
                          <a:sysClr val="windowText" lastClr="000000"/>
                        </a:solidFill>
                        <a:latin typeface="Cambria Math" panose="02040503050406030204" pitchFamily="18" charset="0"/>
                      </a:rPr>
                      <m:t>𝐿</m:t>
                    </m:r>
                    <m:r>
                      <a:rPr lang="en-US" sz="1050" i="1">
                        <a:solidFill>
                          <a:sysClr val="windowText" lastClr="000000"/>
                        </a:solidFill>
                        <a:latin typeface="Cambria Math" panose="02040503050406030204" pitchFamily="18" charset="0"/>
                      </a:rPr>
                      <m:t>=</m:t>
                    </m:r>
                    <m:f>
                      <m:fPr>
                        <m:ctrlPr>
                          <a:rPr lang="en-US" sz="1050" i="1">
                            <a:solidFill>
                              <a:sysClr val="windowText" lastClr="000000"/>
                            </a:solidFill>
                            <a:latin typeface="Cambria Math" panose="02040503050406030204" pitchFamily="18" charset="0"/>
                          </a:rPr>
                        </m:ctrlPr>
                      </m:fPr>
                      <m:num>
                        <m:sSub>
                          <m:sSubPr>
                            <m:ctrlPr>
                              <a:rPr lang="en-US" sz="1050" i="1">
                                <a:solidFill>
                                  <a:sysClr val="windowText" lastClr="000000"/>
                                </a:solidFill>
                                <a:latin typeface="Cambria Math" panose="02040503050406030204" pitchFamily="18" charset="0"/>
                              </a:rPr>
                            </m:ctrlPr>
                          </m:sSubPr>
                          <m:e>
                            <m:r>
                              <a:rPr lang="en-US" sz="1050" b="0" i="1">
                                <a:solidFill>
                                  <a:sysClr val="windowText" lastClr="000000"/>
                                </a:solidFill>
                                <a:latin typeface="Cambria Math" panose="02040503050406030204" pitchFamily="18" charset="0"/>
                              </a:rPr>
                              <m:t>𝑋</m:t>
                            </m:r>
                          </m:e>
                          <m:sub>
                            <m:r>
                              <a:rPr lang="en-US" sz="1050" b="0" i="1">
                                <a:solidFill>
                                  <a:sysClr val="windowText" lastClr="000000"/>
                                </a:solidFill>
                                <a:latin typeface="Cambria Math" panose="02040503050406030204" pitchFamily="18" charset="0"/>
                              </a:rPr>
                              <m:t>𝐿</m:t>
                            </m:r>
                          </m:sub>
                        </m:sSub>
                      </m:num>
                      <m:den>
                        <m:r>
                          <a:rPr lang="en-US" sz="1050" b="0" i="1">
                            <a:solidFill>
                              <a:sysClr val="windowText" lastClr="000000"/>
                            </a:solidFill>
                            <a:latin typeface="Cambria Math" panose="02040503050406030204" pitchFamily="18" charset="0"/>
                          </a:rPr>
                          <m:t>2</m:t>
                        </m:r>
                        <m:r>
                          <a:rPr lang="en-US" sz="1050" b="0" i="1">
                            <a:solidFill>
                              <a:sysClr val="windowText" lastClr="000000"/>
                            </a:solidFill>
                            <a:latin typeface="Cambria Math" panose="02040503050406030204" pitchFamily="18" charset="0"/>
                            <a:ea typeface="Cambria Math" panose="02040503050406030204" pitchFamily="18" charset="0"/>
                          </a:rPr>
                          <m:t>𝜋</m:t>
                        </m:r>
                        <m:r>
                          <a:rPr lang="en-US" sz="1050" b="0" i="1">
                            <a:solidFill>
                              <a:sysClr val="windowText" lastClr="000000"/>
                            </a:solidFill>
                            <a:latin typeface="Cambria Math" panose="02040503050406030204" pitchFamily="18" charset="0"/>
                            <a:ea typeface="Cambria Math" panose="02040503050406030204" pitchFamily="18" charset="0"/>
                          </a:rPr>
                          <m:t>𝑓</m:t>
                        </m:r>
                      </m:den>
                    </m:f>
                    <m:r>
                      <a:rPr lang="en-US" sz="1050" b="0" i="1">
                        <a:solidFill>
                          <a:sysClr val="windowText" lastClr="000000"/>
                        </a:solidFill>
                        <a:latin typeface="Cambria Math" panose="02040503050406030204" pitchFamily="18" charset="0"/>
                        <a:ea typeface="Cambria Math" panose="02040503050406030204" pitchFamily="18" charset="0"/>
                      </a:rPr>
                      <m:t> </m:t>
                    </m:r>
                    <m:d>
                      <m:dPr>
                        <m:ctrlPr>
                          <a:rPr lang="en-US" sz="1050" b="0" i="1">
                            <a:solidFill>
                              <a:sysClr val="windowText" lastClr="000000"/>
                            </a:solidFill>
                            <a:latin typeface="Cambria Math" panose="02040503050406030204" pitchFamily="18" charset="0"/>
                            <a:ea typeface="Cambria Math" panose="02040503050406030204" pitchFamily="18" charset="0"/>
                          </a:rPr>
                        </m:ctrlPr>
                      </m:dPr>
                      <m:e>
                        <m:r>
                          <a:rPr lang="en-US" sz="1050" b="0" i="1">
                            <a:solidFill>
                              <a:sysClr val="windowText" lastClr="000000"/>
                            </a:solidFill>
                            <a:latin typeface="Cambria Math" panose="02040503050406030204" pitchFamily="18" charset="0"/>
                            <a:ea typeface="Cambria Math" panose="02040503050406030204" pitchFamily="18" charset="0"/>
                          </a:rPr>
                          <m:t>𝐻</m:t>
                        </m:r>
                      </m:e>
                    </m:d>
                  </m:oMath>
                </m:oMathPara>
              </a14:m>
              <a:endParaRPr lang="en-US" sz="1050">
                <a:solidFill>
                  <a:sysClr val="windowText" lastClr="000000"/>
                </a:solidFill>
              </a:endParaRPr>
            </a:p>
          </xdr:txBody>
        </xdr:sp>
      </mc:Choice>
      <mc:Fallback xmlns="">
        <xdr:sp macro="" textlink="">
          <xdr:nvSpPr>
            <xdr:cNvPr id="29" name="TextBox 34">
              <a:extLst>
                <a:ext uri="{FF2B5EF4-FFF2-40B4-BE49-F238E27FC236}">
                  <a16:creationId xmlns:a16="http://schemas.microsoft.com/office/drawing/2014/main" id="{1FFD8DB0-F137-4162-8649-0B2E8BFAC285}"/>
                </a:ext>
              </a:extLst>
            </xdr:cNvPr>
            <xdr:cNvSpPr txBox="1"/>
          </xdr:nvSpPr>
          <xdr:spPr>
            <a:xfrm>
              <a:off x="4069326" y="40233425"/>
              <a:ext cx="1620174" cy="324890"/>
            </a:xfrm>
            <a:prstGeom prst="rect">
              <a:avLst/>
            </a:prstGeom>
            <a:noFill/>
          </xdr:spPr>
          <xdr:txBody>
            <a:bodyPr wrap="square" lIns="0" tIns="0" rIns="0" bIns="0" rtlCol="0">
              <a:spAutoFit/>
            </a:bodyPr>
            <a:lstStyle>
              <a:defPPr>
                <a:defRPr lang="en-US"/>
              </a:defPPr>
              <a:lvl1pPr marL="0" algn="l" defTabSz="731520" rtl="0" eaLnBrk="1" latinLnBrk="0" hangingPunct="1">
                <a:defRPr sz="1500" kern="1200">
                  <a:solidFill>
                    <a:schemeClr val="tx1"/>
                  </a:solidFill>
                  <a:latin typeface="+mn-lt"/>
                  <a:ea typeface="+mn-ea"/>
                  <a:cs typeface="+mn-cs"/>
                </a:defRPr>
              </a:lvl1pPr>
              <a:lvl2pPr marL="365760" algn="l" defTabSz="731520" rtl="0" eaLnBrk="1" latinLnBrk="0" hangingPunct="1">
                <a:defRPr sz="1500" kern="1200">
                  <a:solidFill>
                    <a:schemeClr val="tx1"/>
                  </a:solidFill>
                  <a:latin typeface="+mn-lt"/>
                  <a:ea typeface="+mn-ea"/>
                  <a:cs typeface="+mn-cs"/>
                </a:defRPr>
              </a:lvl2pPr>
              <a:lvl3pPr marL="731520" algn="l" defTabSz="731520" rtl="0" eaLnBrk="1" latinLnBrk="0" hangingPunct="1">
                <a:defRPr sz="1500" kern="1200">
                  <a:solidFill>
                    <a:schemeClr val="tx1"/>
                  </a:solidFill>
                  <a:latin typeface="+mn-lt"/>
                  <a:ea typeface="+mn-ea"/>
                  <a:cs typeface="+mn-cs"/>
                </a:defRPr>
              </a:lvl3pPr>
              <a:lvl4pPr marL="1097280" algn="l" defTabSz="731520" rtl="0" eaLnBrk="1" latinLnBrk="0" hangingPunct="1">
                <a:defRPr sz="1500" kern="1200">
                  <a:solidFill>
                    <a:schemeClr val="tx1"/>
                  </a:solidFill>
                  <a:latin typeface="+mn-lt"/>
                  <a:ea typeface="+mn-ea"/>
                  <a:cs typeface="+mn-cs"/>
                </a:defRPr>
              </a:lvl4pPr>
              <a:lvl5pPr marL="1463040" algn="l" defTabSz="731520" rtl="0" eaLnBrk="1" latinLnBrk="0" hangingPunct="1">
                <a:defRPr sz="1500" kern="1200">
                  <a:solidFill>
                    <a:schemeClr val="tx1"/>
                  </a:solidFill>
                  <a:latin typeface="+mn-lt"/>
                  <a:ea typeface="+mn-ea"/>
                  <a:cs typeface="+mn-cs"/>
                </a:defRPr>
              </a:lvl5pPr>
              <a:lvl6pPr marL="1828800" algn="l" defTabSz="731520" rtl="0" eaLnBrk="1" latinLnBrk="0" hangingPunct="1">
                <a:defRPr sz="1500" kern="1200">
                  <a:solidFill>
                    <a:schemeClr val="tx1"/>
                  </a:solidFill>
                  <a:latin typeface="+mn-lt"/>
                  <a:ea typeface="+mn-ea"/>
                  <a:cs typeface="+mn-cs"/>
                </a:defRPr>
              </a:lvl6pPr>
              <a:lvl7pPr marL="2194560" algn="l" defTabSz="731520" rtl="0" eaLnBrk="1" latinLnBrk="0" hangingPunct="1">
                <a:defRPr sz="1500" kern="1200">
                  <a:solidFill>
                    <a:schemeClr val="tx1"/>
                  </a:solidFill>
                  <a:latin typeface="+mn-lt"/>
                  <a:ea typeface="+mn-ea"/>
                  <a:cs typeface="+mn-cs"/>
                </a:defRPr>
              </a:lvl7pPr>
              <a:lvl8pPr marL="2560320" algn="l" defTabSz="731520" rtl="0" eaLnBrk="1" latinLnBrk="0" hangingPunct="1">
                <a:defRPr sz="1500" kern="1200">
                  <a:solidFill>
                    <a:schemeClr val="tx1"/>
                  </a:solidFill>
                  <a:latin typeface="+mn-lt"/>
                  <a:ea typeface="+mn-ea"/>
                  <a:cs typeface="+mn-cs"/>
                </a:defRPr>
              </a:lvl8pPr>
              <a:lvl9pPr marL="2926080" algn="l" defTabSz="731520" rtl="0" eaLnBrk="1" latinLnBrk="0" hangingPunct="1">
                <a:defRPr sz="1500" kern="1200">
                  <a:solidFill>
                    <a:schemeClr val="tx1"/>
                  </a:solidFill>
                  <a:latin typeface="+mn-lt"/>
                  <a:ea typeface="+mn-ea"/>
                  <a:cs typeface="+mn-cs"/>
                </a:defRPr>
              </a:lvl9pPr>
            </a:lstStyle>
            <a:p>
              <a:pPr/>
              <a:r>
                <a:rPr lang="en-US" sz="1050" b="0" i="0">
                  <a:solidFill>
                    <a:sysClr val="windowText" lastClr="000000"/>
                  </a:solidFill>
                  <a:latin typeface="Cambria Math" panose="02040503050406030204" pitchFamily="18" charset="0"/>
                </a:rPr>
                <a:t>𝐿</a:t>
              </a:r>
              <a:r>
                <a:rPr lang="en-US" sz="1050" i="0">
                  <a:solidFill>
                    <a:sysClr val="windowText" lastClr="000000"/>
                  </a:solidFill>
                  <a:latin typeface="Cambria Math" panose="02040503050406030204" pitchFamily="18" charset="0"/>
                </a:rPr>
                <a:t>=</a:t>
              </a:r>
              <a:r>
                <a:rPr lang="en-US" sz="1050" b="0" i="0">
                  <a:solidFill>
                    <a:sysClr val="windowText" lastClr="000000"/>
                  </a:solidFill>
                  <a:latin typeface="Cambria Math" panose="02040503050406030204" pitchFamily="18" charset="0"/>
                </a:rPr>
                <a:t>𝑋_𝐿/2</a:t>
              </a:r>
              <a:r>
                <a:rPr lang="en-US" sz="1050" b="0" i="0">
                  <a:solidFill>
                    <a:sysClr val="windowText" lastClr="000000"/>
                  </a:solidFill>
                  <a:latin typeface="Cambria Math" panose="02040503050406030204" pitchFamily="18" charset="0"/>
                  <a:ea typeface="Cambria Math" panose="02040503050406030204" pitchFamily="18" charset="0"/>
                </a:rPr>
                <a:t>𝜋𝑓  (𝐻)</a:t>
              </a:r>
              <a:endParaRPr lang="en-US" sz="1050">
                <a:solidFill>
                  <a:sysClr val="windowText" lastClr="000000"/>
                </a:solidFill>
              </a:endParaRPr>
            </a:p>
          </xdr:txBody>
        </xdr:sp>
      </mc:Fallback>
    </mc:AlternateContent>
    <xdr:clientData/>
  </xdr:twoCellAnchor>
  <xdr:twoCellAnchor>
    <xdr:from>
      <xdr:col>45</xdr:col>
      <xdr:colOff>4438</xdr:colOff>
      <xdr:row>124</xdr:row>
      <xdr:rowOff>83357</xdr:rowOff>
    </xdr:from>
    <xdr:to>
      <xdr:col>82</xdr:col>
      <xdr:colOff>49933</xdr:colOff>
      <xdr:row>143</xdr:row>
      <xdr:rowOff>209550</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91EA1E82-81AC-47D3-8865-B420B551AE25}"/>
                </a:ext>
              </a:extLst>
            </xdr:cNvPr>
            <xdr:cNvSpPr txBox="1"/>
          </xdr:nvSpPr>
          <xdr:spPr>
            <a:xfrm>
              <a:off x="8148313" y="28429757"/>
              <a:ext cx="6741570" cy="4469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spreadsheet is used to support the design, tuning, and component selection associated with </a:t>
              </a:r>
              <a:r>
                <a:rPr lang="en-US" sz="1100" b="1">
                  <a:solidFill>
                    <a:schemeClr val="dk1"/>
                  </a:solidFill>
                  <a:effectLst/>
                  <a:latin typeface="+mn-lt"/>
                  <a:ea typeface="+mn-ea"/>
                  <a:cs typeface="+mn-cs"/>
                </a:rPr>
                <a:t>C-HP harmonic filters</a:t>
              </a:r>
              <a:r>
                <a:rPr lang="en-US" sz="1100">
                  <a:solidFill>
                    <a:schemeClr val="dk1"/>
                  </a:solidFill>
                  <a:effectLst/>
                  <a:latin typeface="+mn-lt"/>
                  <a:ea typeface="+mn-ea"/>
                  <a:cs typeface="+mn-cs"/>
                </a:rPr>
                <a:t> as engineered by </a:t>
              </a:r>
              <a:r>
                <a:rPr lang="en-US" sz="1100" b="1">
                  <a:solidFill>
                    <a:schemeClr val="dk1"/>
                  </a:solidFill>
                  <a:effectLst/>
                  <a:latin typeface="+mn-lt"/>
                  <a:ea typeface="+mn-ea"/>
                  <a:cs typeface="+mn-cs"/>
                </a:rPr>
                <a:t>VarStec Power Solutions</a:t>
              </a:r>
              <a:r>
                <a:rPr lang="en-US" sz="1100">
                  <a:solidFill>
                    <a:schemeClr val="dk1"/>
                  </a:solidFill>
                  <a:effectLst/>
                  <a:latin typeface="+mn-lt"/>
                  <a:ea typeface="+mn-ea"/>
                  <a:cs typeface="+mn-cs"/>
                </a:rPr>
                <a:t>. It provides a consistent methodology for determining all electrical parameters required for proper filter performance, including reactances, inductances, capacitor reactive power ratings and associated voltage ratings, harmonic currents, voltage stresses, and damping resistance. The summary below describes the calculation process applied throughout the tool. The tool assumes that harmonic simulations have been conducted and the harmonic current spectrum into the harmonic filter is known. These values are inserted in the blue highlighted fields of rows 24 and 25 on page 1.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For additional information, engineering support, or custom filter designs, contact VarStec Power Solutions at  </a:t>
              </a:r>
              <a:r>
                <a:rPr lang="en-US" sz="1100" b="1">
                  <a:solidFill>
                    <a:schemeClr val="dk1"/>
                  </a:solidFill>
                  <a:effectLst/>
                  <a:latin typeface="+mn-lt"/>
                  <a:ea typeface="+mn-ea"/>
                  <a:cs typeface="+mn-cs"/>
                </a:rPr>
                <a:t>info@varstec.com</a:t>
              </a:r>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design process begins by establishing the fundamental kvar requirement of the harmonic filter, typically based on the kvar demand of the connected load or the kvar allocation assigned to each stage of a multi-stage harmonic filter system. This requirement is defined as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𝑄</m:t>
                      </m:r>
                    </m:e>
                    <m:sub>
                      <m:r>
                        <a:rPr lang="en-US" sz="1100" i="1">
                          <a:solidFill>
                            <a:schemeClr val="dk1"/>
                          </a:solidFill>
                          <a:effectLst/>
                          <a:latin typeface="Cambria Math" panose="02040503050406030204" pitchFamily="18" charset="0"/>
                          <a:ea typeface="+mn-ea"/>
                          <a:cs typeface="+mn-cs"/>
                        </a:rPr>
                        <m:t>𝑒𝑓𝑓</m:t>
                      </m:r>
                    </m:sub>
                  </m:sSub>
                </m:oMath>
              </a14:m>
              <a:r>
                <a:rPr lang="en-US" sz="1100">
                  <a:solidFill>
                    <a:schemeClr val="dk1"/>
                  </a:solidFill>
                  <a:effectLst/>
                  <a:latin typeface="+mn-lt"/>
                  <a:ea typeface="+mn-ea"/>
                  <a:cs typeface="+mn-cs"/>
                </a:rPr>
                <a:t>and forms the foundation of all subsequent calculations. Using the system’s nominal line-to-line voltage </a:t>
              </a:r>
              <a14:m>
                <m:oMath xmlns:m="http://schemas.openxmlformats.org/officeDocument/2006/math">
                  <m:r>
                    <a:rPr lang="en-US" sz="1100" i="1">
                      <a:solidFill>
                        <a:schemeClr val="dk1"/>
                      </a:solidFill>
                      <a:effectLst/>
                      <a:latin typeface="Cambria Math" panose="02040503050406030204" pitchFamily="18" charset="0"/>
                      <a:ea typeface="+mn-ea"/>
                      <a:cs typeface="+mn-cs"/>
                    </a:rPr>
                    <m:t>𝑘</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𝑉</m:t>
                      </m:r>
                    </m:e>
                    <m:sub>
                      <m:r>
                        <a:rPr lang="en-US" sz="1100" i="1">
                          <a:solidFill>
                            <a:schemeClr val="dk1"/>
                          </a:solidFill>
                          <a:effectLst/>
                          <a:latin typeface="Cambria Math" panose="02040503050406030204" pitchFamily="18" charset="0"/>
                          <a:ea typeface="+mn-ea"/>
                          <a:cs typeface="+mn-cs"/>
                        </a:rPr>
                        <m:t>𝐿𝐿𝑆𝑌𝑆</m:t>
                      </m:r>
                    </m:sub>
                  </m:sSub>
                </m:oMath>
              </a14:m>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the spreadsheet determines the fundamental capacitive reactance of the main capacitor section,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𝑒𝑓𝑓</m:t>
                      </m:r>
                    </m:sub>
                  </m:sSub>
                </m:oMath>
              </a14:m>
              <a:r>
                <a:rPr lang="en-US" sz="1100">
                  <a:solidFill>
                    <a:schemeClr val="dk1"/>
                  </a:solidFill>
                  <a:effectLst/>
                  <a:latin typeface="+mn-lt"/>
                  <a:ea typeface="+mn-ea"/>
                  <a:cs typeface="+mn-cs"/>
                </a:rPr>
                <a:t>. For a C-HP filter, this value directly represents the main capacitor reactance,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𝐶𝑀</m:t>
                      </m:r>
                    </m:sub>
                  </m:sSub>
                  <m:r>
                    <a:rPr lang="ar-AE" sz="1100">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𝑒𝑓𝑓</m:t>
                      </m:r>
                    </m:sub>
                  </m:sSub>
                </m:oMath>
              </a14:m>
              <a:r>
                <a:rPr lang="ar-AE" sz="1100">
                  <a:solidFill>
                    <a:schemeClr val="dk1"/>
                  </a:solidFill>
                  <a:effectLst/>
                  <a:latin typeface="+mn-lt"/>
                  <a:ea typeface="+mn-ea"/>
                  <a:cs typeface="+mn-cs"/>
                </a:rPr>
                <a: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Tuning the filter to the specified harmonic order </a:t>
              </a:r>
              <a14:m>
                <m:oMath xmlns:m="http://schemas.openxmlformats.org/officeDocument/2006/math">
                  <m:r>
                    <a:rPr lang="en-US" sz="1100" i="1">
                      <a:solidFill>
                        <a:schemeClr val="dk1"/>
                      </a:solidFill>
                      <a:effectLst/>
                      <a:latin typeface="Cambria Math" panose="02040503050406030204" pitchFamily="18" charset="0"/>
                      <a:ea typeface="+mn-ea"/>
                      <a:cs typeface="+mn-cs"/>
                    </a:rPr>
                    <m:t>h</m:t>
                  </m:r>
                </m:oMath>
              </a14:m>
              <a:r>
                <a:rPr lang="en-US" sz="1100">
                  <a:solidFill>
                    <a:schemeClr val="dk1"/>
                  </a:solidFill>
                  <a:effectLst/>
                  <a:latin typeface="+mn-lt"/>
                  <a:ea typeface="+mn-ea"/>
                  <a:cs typeface="+mn-cs"/>
                </a:rPr>
                <a:t> requires defining the reactances in the series tuning branch. The reactor’s inductive reactance at the fundamental frequency,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𝐿</m:t>
                      </m:r>
                    </m:sub>
                  </m:sSub>
                </m:oMath>
              </a14:m>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is computed using standard tuning relationships. In a classical C-HP topology, the auxiliary capacitor section is sized such that its capacitive reactance equals the inductive reactance of the tuning reactor, giving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𝐶</m:t>
                      </m:r>
                      <m:r>
                        <a:rPr lang="en-US" sz="1100" i="1">
                          <a:solidFill>
                            <a:schemeClr val="dk1"/>
                          </a:solidFill>
                          <a:effectLst/>
                          <a:latin typeface="Cambria Math" panose="02040503050406030204" pitchFamily="18" charset="0"/>
                          <a:ea typeface="+mn-ea"/>
                          <a:cs typeface="+mn-cs"/>
                        </a:rPr>
                        <m:t> </m:t>
                      </m:r>
                      <m:r>
                        <a:rPr lang="en-US" sz="1100" i="1">
                          <a:solidFill>
                            <a:schemeClr val="dk1"/>
                          </a:solidFill>
                          <a:effectLst/>
                          <a:latin typeface="Cambria Math" panose="02040503050406030204" pitchFamily="18" charset="0"/>
                          <a:ea typeface="+mn-ea"/>
                          <a:cs typeface="+mn-cs"/>
                        </a:rPr>
                        <m:t>𝐴𝑈𝑋</m:t>
                      </m:r>
                    </m:sub>
                  </m:sSub>
                  <m:r>
                    <a:rPr lang="ar-AE" sz="1100">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𝐿</m:t>
                      </m:r>
                    </m:sub>
                  </m:sSub>
                </m:oMath>
              </a14:m>
              <a:r>
                <a:rPr lang="en-US" sz="1100">
                  <a:solidFill>
                    <a:schemeClr val="dk1"/>
                  </a:solidFill>
                  <a:effectLst/>
                  <a:latin typeface="+mn-lt"/>
                  <a:ea typeface="+mn-ea"/>
                  <a:cs typeface="+mn-cs"/>
                </a:rPr>
                <a:t>. This establishes a tuned L-C branch in parallel with the damping resistor (high-pass resistor) and eliminates fundamental-frequency losses in the high-pass resistor allowing for an efficient low damping factor high-pass harmonic filter. Once the tuning reactances are known, the corresponding reactor inductance </a:t>
              </a:r>
              <a14:m>
                <m:oMath xmlns:m="http://schemas.openxmlformats.org/officeDocument/2006/math">
                  <m:r>
                    <a:rPr lang="en-US" sz="1100" i="1">
                      <a:solidFill>
                        <a:schemeClr val="dk1"/>
                      </a:solidFill>
                      <a:effectLst/>
                      <a:latin typeface="Cambria Math" panose="02040503050406030204" pitchFamily="18" charset="0"/>
                      <a:ea typeface="+mn-ea"/>
                      <a:cs typeface="+mn-cs"/>
                    </a:rPr>
                    <m:t>𝐿</m:t>
                  </m:r>
                </m:oMath>
              </a14:m>
              <a:r>
                <a:rPr lang="en-US" sz="1100">
                  <a:solidFill>
                    <a:schemeClr val="dk1"/>
                  </a:solidFill>
                  <a:effectLst/>
                  <a:latin typeface="+mn-lt"/>
                  <a:ea typeface="+mn-ea"/>
                  <a:cs typeface="+mn-cs"/>
                </a:rPr>
                <a:t> is calculated directly from </a:t>
              </a: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𝑋</m:t>
                      </m:r>
                    </m:e>
                    <m:sub>
                      <m:r>
                        <a:rPr lang="en-US" sz="1100" i="1">
                          <a:solidFill>
                            <a:schemeClr val="dk1"/>
                          </a:solidFill>
                          <a:effectLst/>
                          <a:latin typeface="Cambria Math" panose="02040503050406030204" pitchFamily="18" charset="0"/>
                          <a:ea typeface="+mn-ea"/>
                          <a:cs typeface="+mn-cs"/>
                        </a:rPr>
                        <m:t>𝐿</m:t>
                      </m:r>
                    </m:sub>
                  </m:sSub>
                </m:oMath>
              </a14:m>
              <a:r>
                <a:rPr lang="en-US" sz="1100">
                  <a:solidFill>
                    <a:schemeClr val="dk1"/>
                  </a:solidFill>
                  <a:effectLst/>
                  <a:latin typeface="+mn-lt"/>
                  <a:ea typeface="+mn-ea"/>
                  <a:cs typeface="+mn-cs"/>
                </a:rPr>
                <a:t>and the system frequency.</a:t>
              </a:r>
            </a:p>
            <a:p>
              <a:endParaRPr lang="en-US" sz="1100"/>
            </a:p>
          </xdr:txBody>
        </xdr:sp>
      </mc:Choice>
      <mc:Fallback xmlns="">
        <xdr:sp macro="" textlink="">
          <xdr:nvSpPr>
            <xdr:cNvPr id="30" name="TextBox 29">
              <a:extLst>
                <a:ext uri="{FF2B5EF4-FFF2-40B4-BE49-F238E27FC236}">
                  <a16:creationId xmlns:a16="http://schemas.microsoft.com/office/drawing/2014/main" id="{91EA1E82-81AC-47D3-8865-B420B551AE25}"/>
                </a:ext>
              </a:extLst>
            </xdr:cNvPr>
            <xdr:cNvSpPr txBox="1"/>
          </xdr:nvSpPr>
          <xdr:spPr>
            <a:xfrm>
              <a:off x="8148313" y="28429757"/>
              <a:ext cx="6741570" cy="4469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spreadsheet is used to support the design, tuning, and component selection associated with </a:t>
              </a:r>
              <a:r>
                <a:rPr lang="en-US" sz="1100" b="1">
                  <a:solidFill>
                    <a:schemeClr val="dk1"/>
                  </a:solidFill>
                  <a:effectLst/>
                  <a:latin typeface="+mn-lt"/>
                  <a:ea typeface="+mn-ea"/>
                  <a:cs typeface="+mn-cs"/>
                </a:rPr>
                <a:t>C-HP harmonic filters</a:t>
              </a:r>
              <a:r>
                <a:rPr lang="en-US" sz="1100">
                  <a:solidFill>
                    <a:schemeClr val="dk1"/>
                  </a:solidFill>
                  <a:effectLst/>
                  <a:latin typeface="+mn-lt"/>
                  <a:ea typeface="+mn-ea"/>
                  <a:cs typeface="+mn-cs"/>
                </a:rPr>
                <a:t> as engineered by </a:t>
              </a:r>
              <a:r>
                <a:rPr lang="en-US" sz="1100" b="1">
                  <a:solidFill>
                    <a:schemeClr val="dk1"/>
                  </a:solidFill>
                  <a:effectLst/>
                  <a:latin typeface="+mn-lt"/>
                  <a:ea typeface="+mn-ea"/>
                  <a:cs typeface="+mn-cs"/>
                </a:rPr>
                <a:t>VarStec Power Solutions</a:t>
              </a:r>
              <a:r>
                <a:rPr lang="en-US" sz="1100">
                  <a:solidFill>
                    <a:schemeClr val="dk1"/>
                  </a:solidFill>
                  <a:effectLst/>
                  <a:latin typeface="+mn-lt"/>
                  <a:ea typeface="+mn-ea"/>
                  <a:cs typeface="+mn-cs"/>
                </a:rPr>
                <a:t>. It provides a consistent methodology for determining all electrical parameters required for proper filter performance, including reactances, inductances, capacitor reactive power ratings and associated voltage ratings, harmonic currents, voltage stresses, and damping resistance. The summary below describes the calculation process applied throughout the tool. The tool assumes that harmonic simulations have been conducted and the harmonic current spectrum into the harmonic filter is known. These values are inserted in the blue highlighted fields of rows 24 and 25 on page 1.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For additional information, engineering support, or custom filter designs, contact VarStec Power Solutions at  </a:t>
              </a:r>
              <a:r>
                <a:rPr lang="en-US" sz="1100" b="1">
                  <a:solidFill>
                    <a:schemeClr val="dk1"/>
                  </a:solidFill>
                  <a:effectLst/>
                  <a:latin typeface="+mn-lt"/>
                  <a:ea typeface="+mn-ea"/>
                  <a:cs typeface="+mn-cs"/>
                </a:rPr>
                <a:t>info@varstec.com</a:t>
              </a:r>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br>
                <a:rPr lang="en-US" sz="1100">
                  <a:solidFill>
                    <a:schemeClr val="dk1"/>
                  </a:solidFill>
                  <a:effectLst/>
                  <a:latin typeface="+mn-lt"/>
                  <a:ea typeface="+mn-ea"/>
                  <a:cs typeface="+mn-cs"/>
                </a:rPr>
              </a:br>
              <a:r>
                <a:rPr lang="en-US" sz="1100">
                  <a:solidFill>
                    <a:schemeClr val="dk1"/>
                  </a:solidFill>
                  <a:effectLst/>
                  <a:latin typeface="+mn-lt"/>
                  <a:ea typeface="+mn-ea"/>
                  <a:cs typeface="+mn-cs"/>
                </a:rPr>
                <a:t>The design process begins by establishing the fundamental kvar requirement of the harmonic filter, typically based on the kvar demand of the connected load or the kvar allocation assigned to each stage of a multi-stage harmonic filter system. This requirement is defined as </a:t>
              </a:r>
              <a:r>
                <a:rPr lang="en-US" sz="1100" i="0">
                  <a:solidFill>
                    <a:schemeClr val="dk1"/>
                  </a:solidFill>
                  <a:effectLst/>
                  <a:latin typeface="Cambria Math" panose="02040503050406030204" pitchFamily="18" charset="0"/>
                  <a:ea typeface="+mn-ea"/>
                  <a:cs typeface="+mn-cs"/>
                </a:rPr>
                <a:t>𝑄_𝑒𝑓𝑓</a:t>
              </a:r>
              <a:r>
                <a:rPr lang="en-US" sz="1100">
                  <a:solidFill>
                    <a:schemeClr val="dk1"/>
                  </a:solidFill>
                  <a:effectLst/>
                  <a:latin typeface="+mn-lt"/>
                  <a:ea typeface="+mn-ea"/>
                  <a:cs typeface="+mn-cs"/>
                </a:rPr>
                <a:t>and forms the foundation of all subsequent calculations. Using the system’s nominal line-to-line voltage </a:t>
              </a:r>
              <a:r>
                <a:rPr lang="en-US" sz="1100" i="0">
                  <a:solidFill>
                    <a:schemeClr val="dk1"/>
                  </a:solidFill>
                  <a:effectLst/>
                  <a:latin typeface="Cambria Math" panose="02040503050406030204" pitchFamily="18" charset="0"/>
                  <a:ea typeface="+mn-ea"/>
                  <a:cs typeface="+mn-cs"/>
                </a:rPr>
                <a:t>𝑘𝑉_𝐿𝐿𝑆𝑌𝑆</a:t>
              </a:r>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the spreadsheet determines the fundamental capacitive reactance of the main capacitor section, </a:t>
              </a:r>
              <a:r>
                <a:rPr lang="en-US" sz="1100" i="0">
                  <a:solidFill>
                    <a:schemeClr val="dk1"/>
                  </a:solidFill>
                  <a:effectLst/>
                  <a:latin typeface="Cambria Math" panose="02040503050406030204" pitchFamily="18" charset="0"/>
                  <a:ea typeface="+mn-ea"/>
                  <a:cs typeface="+mn-cs"/>
                </a:rPr>
                <a:t>𝑋_𝑒𝑓𝑓</a:t>
              </a:r>
              <a:r>
                <a:rPr lang="en-US" sz="1100">
                  <a:solidFill>
                    <a:schemeClr val="dk1"/>
                  </a:solidFill>
                  <a:effectLst/>
                  <a:latin typeface="+mn-lt"/>
                  <a:ea typeface="+mn-ea"/>
                  <a:cs typeface="+mn-cs"/>
                </a:rPr>
                <a:t>. For a C-HP filter, this value directly represents the main capacitor reactance, </a:t>
              </a:r>
              <a:r>
                <a:rPr lang="en-US" sz="1100" i="0">
                  <a:solidFill>
                    <a:schemeClr val="dk1"/>
                  </a:solidFill>
                  <a:effectLst/>
                  <a:latin typeface="Cambria Math" panose="02040503050406030204" pitchFamily="18" charset="0"/>
                  <a:ea typeface="+mn-ea"/>
                  <a:cs typeface="+mn-cs"/>
                </a:rPr>
                <a:t>𝑋_𝐶𝑀</a:t>
              </a:r>
              <a:r>
                <a:rPr lang="ar-AE"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𝑋_𝑒𝑓𝑓</a:t>
              </a:r>
              <a:r>
                <a:rPr lang="ar-AE" sz="1100">
                  <a:solidFill>
                    <a:schemeClr val="dk1"/>
                  </a:solidFill>
                  <a:effectLst/>
                  <a:latin typeface="+mn-lt"/>
                  <a:ea typeface="+mn-ea"/>
                  <a:cs typeface="+mn-cs"/>
                </a:rPr>
                <a: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Tuning the filter to the specified harmonic order </a:t>
              </a:r>
              <a:r>
                <a:rPr lang="en-US" sz="1100" i="0">
                  <a:solidFill>
                    <a:schemeClr val="dk1"/>
                  </a:solidFill>
                  <a:effectLst/>
                  <a:latin typeface="Cambria Math" panose="02040503050406030204" pitchFamily="18" charset="0"/>
                  <a:ea typeface="+mn-ea"/>
                  <a:cs typeface="+mn-cs"/>
                </a:rPr>
                <a:t>ℎ</a:t>
              </a:r>
              <a:r>
                <a:rPr lang="en-US" sz="1100">
                  <a:solidFill>
                    <a:schemeClr val="dk1"/>
                  </a:solidFill>
                  <a:effectLst/>
                  <a:latin typeface="+mn-lt"/>
                  <a:ea typeface="+mn-ea"/>
                  <a:cs typeface="+mn-cs"/>
                </a:rPr>
                <a:t> requires defining the reactances in the series tuning branch. The reactor’s inductive reactance at the fundamental frequency, </a:t>
              </a:r>
              <a:r>
                <a:rPr lang="en-US" sz="1100" i="0">
                  <a:solidFill>
                    <a:schemeClr val="dk1"/>
                  </a:solidFill>
                  <a:effectLst/>
                  <a:latin typeface="Cambria Math" panose="02040503050406030204" pitchFamily="18" charset="0"/>
                  <a:ea typeface="+mn-ea"/>
                  <a:cs typeface="+mn-cs"/>
                </a:rPr>
                <a:t>𝑋_𝐿</a:t>
              </a:r>
              <a:r>
                <a:rPr lang="ar-AE" sz="1100">
                  <a:solidFill>
                    <a:schemeClr val="dk1"/>
                  </a:solidFill>
                  <a:effectLst/>
                  <a:latin typeface="+mn-lt"/>
                  <a:ea typeface="+mn-ea"/>
                  <a:cs typeface="+mn-cs"/>
                </a:rPr>
                <a:t>, </a:t>
              </a:r>
              <a:r>
                <a:rPr lang="en-US" sz="1100">
                  <a:solidFill>
                    <a:schemeClr val="dk1"/>
                  </a:solidFill>
                  <a:effectLst/>
                  <a:latin typeface="+mn-lt"/>
                  <a:ea typeface="+mn-ea"/>
                  <a:cs typeface="+mn-cs"/>
                </a:rPr>
                <a:t>is computed using standard tuning relationships. In a classical C-HP topology, the auxiliary capacitor section is sized such that its capacitive reactance equals the inductive reactance of the tuning reactor, giving </a:t>
              </a:r>
              <a:r>
                <a:rPr lang="en-US" sz="1100" i="0">
                  <a:solidFill>
                    <a:schemeClr val="dk1"/>
                  </a:solidFill>
                  <a:effectLst/>
                  <a:latin typeface="Cambria Math" panose="02040503050406030204" pitchFamily="18" charset="0"/>
                  <a:ea typeface="+mn-ea"/>
                  <a:cs typeface="+mn-cs"/>
                </a:rPr>
                <a:t>𝑋_(𝐶 𝐴𝑈𝑋)</a:t>
              </a:r>
              <a:r>
                <a:rPr lang="ar-AE" sz="1100" i="0">
                  <a:solidFill>
                    <a:schemeClr val="dk1"/>
                  </a:solidFill>
                  <a:effectLst/>
                  <a:latin typeface="Cambria Math" panose="02040503050406030204" pitchFamily="18" charset="0"/>
                  <a:ea typeface="+mn-ea"/>
                  <a:cs typeface="+mn-cs"/>
                </a:rPr>
                <a:t>=</a:t>
              </a:r>
              <a:r>
                <a:rPr lang="en-US" sz="1100" i="0">
                  <a:solidFill>
                    <a:schemeClr val="dk1"/>
                  </a:solidFill>
                  <a:effectLst/>
                  <a:latin typeface="Cambria Math" panose="02040503050406030204" pitchFamily="18" charset="0"/>
                  <a:ea typeface="+mn-ea"/>
                  <a:cs typeface="+mn-cs"/>
                </a:rPr>
                <a:t>𝑋_𝐿</a:t>
              </a:r>
              <a:r>
                <a:rPr lang="en-US" sz="1100">
                  <a:solidFill>
                    <a:schemeClr val="dk1"/>
                  </a:solidFill>
                  <a:effectLst/>
                  <a:latin typeface="+mn-lt"/>
                  <a:ea typeface="+mn-ea"/>
                  <a:cs typeface="+mn-cs"/>
                </a:rPr>
                <a:t>. This establishes a tuned L-C branch in parallel with the damping resistor (high-pass resistor) and eliminates fundamental-frequency losses in the high-pass resistor allowing for an efficient low damping factor high-pass harmonic filter. Once the tuning reactances are known, the corresponding reactor inductance </a:t>
              </a:r>
              <a:r>
                <a:rPr lang="en-US" sz="1100" i="0">
                  <a:solidFill>
                    <a:schemeClr val="dk1"/>
                  </a:solidFill>
                  <a:effectLst/>
                  <a:latin typeface="Cambria Math" panose="02040503050406030204" pitchFamily="18" charset="0"/>
                  <a:ea typeface="+mn-ea"/>
                  <a:cs typeface="+mn-cs"/>
                </a:rPr>
                <a:t>𝐿</a:t>
              </a:r>
              <a:r>
                <a:rPr lang="en-US" sz="1100">
                  <a:solidFill>
                    <a:schemeClr val="dk1"/>
                  </a:solidFill>
                  <a:effectLst/>
                  <a:latin typeface="+mn-lt"/>
                  <a:ea typeface="+mn-ea"/>
                  <a:cs typeface="+mn-cs"/>
                </a:rPr>
                <a:t> is calculated directly from </a:t>
              </a:r>
              <a:r>
                <a:rPr lang="en-US" sz="1100" i="0">
                  <a:solidFill>
                    <a:schemeClr val="dk1"/>
                  </a:solidFill>
                  <a:effectLst/>
                  <a:latin typeface="Cambria Math" panose="02040503050406030204" pitchFamily="18" charset="0"/>
                  <a:ea typeface="+mn-ea"/>
                  <a:cs typeface="+mn-cs"/>
                </a:rPr>
                <a:t>𝑋_𝐿</a:t>
              </a:r>
              <a:r>
                <a:rPr lang="en-US" sz="1100">
                  <a:solidFill>
                    <a:schemeClr val="dk1"/>
                  </a:solidFill>
                  <a:effectLst/>
                  <a:latin typeface="+mn-lt"/>
                  <a:ea typeface="+mn-ea"/>
                  <a:cs typeface="+mn-cs"/>
                </a:rPr>
                <a:t>and the system frequency.</a:t>
              </a:r>
            </a:p>
            <a:p>
              <a:endParaRPr lang="en-US" sz="1100"/>
            </a:p>
          </xdr:txBody>
        </xdr:sp>
      </mc:Fallback>
    </mc:AlternateContent>
    <xdr:clientData/>
  </xdr:twoCellAnchor>
  <xdr:twoCellAnchor>
    <xdr:from>
      <xdr:col>43</xdr:col>
      <xdr:colOff>165652</xdr:colOff>
      <xdr:row>41</xdr:row>
      <xdr:rowOff>127163</xdr:rowOff>
    </xdr:from>
    <xdr:to>
      <xdr:col>82</xdr:col>
      <xdr:colOff>176858</xdr:colOff>
      <xdr:row>46</xdr:row>
      <xdr:rowOff>33131</xdr:rowOff>
    </xdr:to>
    <xdr:sp macro="" textlink="">
      <xdr:nvSpPr>
        <xdr:cNvPr id="31" name="TextBox 30">
          <a:extLst>
            <a:ext uri="{FF2B5EF4-FFF2-40B4-BE49-F238E27FC236}">
              <a16:creationId xmlns:a16="http://schemas.microsoft.com/office/drawing/2014/main" id="{4287D9AE-FBC1-4D76-9507-C296D2813402}"/>
            </a:ext>
          </a:extLst>
        </xdr:cNvPr>
        <xdr:cNvSpPr txBox="1"/>
      </xdr:nvSpPr>
      <xdr:spPr>
        <a:xfrm>
          <a:off x="7947577" y="9499763"/>
          <a:ext cx="7069231" cy="10489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0"/>
            <a:t>The harmonic</a:t>
          </a:r>
          <a:r>
            <a:rPr lang="en-US" b="0" baseline="0"/>
            <a:t> filter </a:t>
          </a:r>
          <a:r>
            <a:rPr lang="en-US" b="0"/>
            <a:t>design must ensure capacitor operating duties stay within IEEE/IEC-rated limits, including the allowable 10% continuous overvoltage. The spreadsheet checks four key parameters against their rated duty: % Rated</a:t>
          </a:r>
          <a:r>
            <a:rPr lang="en-US" b="0" baseline="0"/>
            <a:t> </a:t>
          </a:r>
          <a:r>
            <a:rPr lang="en-US" b="0"/>
            <a:t>Volts, % Crest Voltage, % Amps, % kVAR. If any value exceeds its limit, the cell turns red. In that case, increase the capacitor voltage rating. The objective is to meet the required duty without significantly exceeding the rating, which would increase cost.</a:t>
          </a:r>
          <a:endParaRPr lang="en-US" sz="1100" b="0"/>
        </a:p>
      </xdr:txBody>
    </xdr:sp>
    <xdr:clientData/>
  </xdr:twoCellAnchor>
  <xdr:twoCellAnchor>
    <xdr:from>
      <xdr:col>2</xdr:col>
      <xdr:colOff>0</xdr:colOff>
      <xdr:row>152</xdr:row>
      <xdr:rowOff>4694</xdr:rowOff>
    </xdr:from>
    <xdr:to>
      <xdr:col>40</xdr:col>
      <xdr:colOff>149679</xdr:colOff>
      <xdr:row>166</xdr:row>
      <xdr:rowOff>125014</xdr:rowOff>
    </xdr:to>
    <xdr:sp macro="" textlink="">
      <xdr:nvSpPr>
        <xdr:cNvPr id="32" name="TextBox 31">
          <a:extLst>
            <a:ext uri="{FF2B5EF4-FFF2-40B4-BE49-F238E27FC236}">
              <a16:creationId xmlns:a16="http://schemas.microsoft.com/office/drawing/2014/main" id="{E4FAD388-6B48-4C35-A42C-45A9370252B5}"/>
            </a:ext>
          </a:extLst>
        </xdr:cNvPr>
        <xdr:cNvSpPr txBox="1"/>
      </xdr:nvSpPr>
      <xdr:spPr>
        <a:xfrm>
          <a:off x="361950" y="34751894"/>
          <a:ext cx="7026729" cy="3320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Capacitor kvar ratings for both the main and auxiliary groups are then determined using their rated operating voltage. The spreadsheet next evaluates the high-pass damping resistor. Its ohmic value is derived from the specified damping factor (DF) of the C-HP filter (determined from harmonic</a:t>
          </a:r>
          <a:r>
            <a:rPr lang="en-US" sz="1100" baseline="0">
              <a:solidFill>
                <a:schemeClr val="dk1"/>
              </a:solidFill>
              <a:effectLst/>
              <a:latin typeface="+mn-lt"/>
              <a:ea typeface="+mn-ea"/>
              <a:cs typeface="+mn-cs"/>
            </a:rPr>
            <a:t> simulations)</a:t>
          </a:r>
          <a:r>
            <a:rPr lang="en-US" sz="1100">
              <a:solidFill>
                <a:schemeClr val="dk1"/>
              </a:solidFill>
              <a:effectLst/>
              <a:latin typeface="+mn-lt"/>
              <a:ea typeface="+mn-ea"/>
              <a:cs typeface="+mn-cs"/>
            </a:rPr>
            <a:t>, linking the resistor to the tuning reactance at the harmonic frequency. With kvar and reactances established, the tool computes the fundamental filter current and applies injected harmonic current data to evaluate the resulting capacitor voltage stresses, current</a:t>
          </a:r>
          <a:r>
            <a:rPr lang="en-US" sz="1100" baseline="0">
              <a:solidFill>
                <a:schemeClr val="dk1"/>
              </a:solidFill>
              <a:effectLst/>
              <a:latin typeface="+mn-lt"/>
              <a:ea typeface="+mn-ea"/>
              <a:cs typeface="+mn-cs"/>
            </a:rPr>
            <a:t> duty, and reactive power duty</a:t>
          </a:r>
          <a:r>
            <a:rPr lang="en-US" sz="1100">
              <a:solidFill>
                <a:schemeClr val="dk1"/>
              </a:solidFill>
              <a:effectLst/>
              <a:latin typeface="+mn-lt"/>
              <a:ea typeface="+mn-ea"/>
              <a:cs typeface="+mn-cs"/>
            </a:rPr>
            <a:t>. These computed values are compared against industry-standard capacitor ratings to confirm suitability for the intended application.</a:t>
          </a:r>
          <a:br>
            <a:rPr lang="en-US" sz="1100">
              <a:solidFill>
                <a:schemeClr val="dk1"/>
              </a:solidFill>
              <a:effectLst/>
              <a:latin typeface="+mn-lt"/>
              <a:ea typeface="+mn-ea"/>
              <a:cs typeface="+mn-cs"/>
            </a:rPr>
          </a:br>
          <a:endParaRPr lang="en-US">
            <a:effectLst/>
          </a:endParaRPr>
        </a:p>
        <a:p>
          <a:r>
            <a:rPr lang="en-US" sz="1100">
              <a:solidFill>
                <a:schemeClr val="dk1"/>
              </a:solidFill>
              <a:effectLst/>
              <a:latin typeface="+mn-lt"/>
              <a:ea typeface="+mn-ea"/>
              <a:cs typeface="+mn-cs"/>
            </a:rPr>
            <a:t>The spreadsheet then resolves the fundamental and harmonic currents flowing in the reactor, auxiliary capacitor section, and high-pass resistor. This is performed using complex current-divider calculations to ensure accurate representation of harmonic behavior. The watt loss in the damping resistor is subsequently computed and verified against its thermal rating.</a:t>
          </a:r>
          <a:br>
            <a:rPr lang="en-US" sz="1100">
              <a:solidFill>
                <a:schemeClr val="dk1"/>
              </a:solidFill>
              <a:effectLst/>
              <a:latin typeface="+mn-lt"/>
              <a:ea typeface="+mn-ea"/>
              <a:cs typeface="+mn-cs"/>
            </a:rPr>
          </a:br>
          <a:endParaRPr lang="en-US">
            <a:effectLst/>
          </a:endParaRPr>
        </a:p>
        <a:p>
          <a:r>
            <a:rPr lang="en-US" sz="1100">
              <a:solidFill>
                <a:schemeClr val="dk1"/>
              </a:solidFill>
              <a:effectLst/>
              <a:latin typeface="+mn-lt"/>
              <a:ea typeface="+mn-ea"/>
              <a:cs typeface="+mn-cs"/>
            </a:rPr>
            <a:t>Taken together, these calculations define a complete, consistent, and repeatable </a:t>
          </a:r>
          <a:r>
            <a:rPr lang="en-US" sz="1100" b="1">
              <a:solidFill>
                <a:schemeClr val="dk1"/>
              </a:solidFill>
              <a:effectLst/>
              <a:latin typeface="+mn-lt"/>
              <a:ea typeface="+mn-ea"/>
              <a:cs typeface="+mn-cs"/>
            </a:rPr>
            <a:t>VarStec methodology</a:t>
          </a:r>
          <a:r>
            <a:rPr lang="en-US" sz="1100">
              <a:solidFill>
                <a:schemeClr val="dk1"/>
              </a:solidFill>
              <a:effectLst/>
              <a:latin typeface="+mn-lt"/>
              <a:ea typeface="+mn-ea"/>
              <a:cs typeface="+mn-cs"/>
            </a:rPr>
            <a:t> for the engineering of C-HP harmonic filters. The spreadsheet determines all critical design parameters,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including reactances, inductance, kvar requirements, current loading, voltage stress, and damping characteristics,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using standardized electrical notation to provide traceability, transparency, and field-proven reliability.</a:t>
          </a:r>
          <a:endParaRPr lang="en-US">
            <a:effectLst/>
          </a:endParaRPr>
        </a:p>
        <a:p>
          <a:endParaRPr lang="en-US" sz="1100"/>
        </a:p>
      </xdr:txBody>
    </xdr:sp>
    <xdr:clientData/>
  </xdr:twoCellAnchor>
  <xdr:twoCellAnchor>
    <xdr:from>
      <xdr:col>2</xdr:col>
      <xdr:colOff>135547</xdr:colOff>
      <xdr:row>78</xdr:row>
      <xdr:rowOff>219807</xdr:rowOff>
    </xdr:from>
    <xdr:to>
      <xdr:col>41</xdr:col>
      <xdr:colOff>7327</xdr:colOff>
      <xdr:row>95</xdr:row>
      <xdr:rowOff>43961</xdr:rowOff>
    </xdr:to>
    <xdr:graphicFrame macro="">
      <xdr:nvGraphicFramePr>
        <xdr:cNvPr id="33" name="Chart 32">
          <a:extLst>
            <a:ext uri="{FF2B5EF4-FFF2-40B4-BE49-F238E27FC236}">
              <a16:creationId xmlns:a16="http://schemas.microsoft.com/office/drawing/2014/main" id="{B719E066-1881-405B-AFC3-AAED428B6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44</xdr:col>
      <xdr:colOff>24848</xdr:colOff>
      <xdr:row>103</xdr:row>
      <xdr:rowOff>227071</xdr:rowOff>
    </xdr:from>
    <xdr:to>
      <xdr:col>45</xdr:col>
      <xdr:colOff>108732</xdr:colOff>
      <xdr:row>104</xdr:row>
      <xdr:rowOff>221753</xdr:rowOff>
    </xdr:to>
    <xdr:pic>
      <xdr:nvPicPr>
        <xdr:cNvPr id="34" name="Picture 33">
          <a:extLst>
            <a:ext uri="{FF2B5EF4-FFF2-40B4-BE49-F238E27FC236}">
              <a16:creationId xmlns:a16="http://schemas.microsoft.com/office/drawing/2014/main" id="{02EA16A7-F083-4196-ADDE-C0E5DBE1359C}"/>
            </a:ext>
          </a:extLst>
        </xdr:cNvPr>
        <xdr:cNvPicPr>
          <a:picLocks noChangeAspect="1"/>
        </xdr:cNvPicPr>
      </xdr:nvPicPr>
      <xdr:blipFill>
        <a:blip xmlns:r="http://schemas.openxmlformats.org/officeDocument/2006/relationships" r:embed="rId5"/>
        <a:stretch>
          <a:fillRect/>
        </a:stretch>
      </xdr:blipFill>
      <xdr:spPr>
        <a:xfrm>
          <a:off x="7987748" y="23772871"/>
          <a:ext cx="264859" cy="223282"/>
        </a:xfrm>
        <a:prstGeom prst="rect">
          <a:avLst/>
        </a:prstGeom>
      </xdr:spPr>
    </xdr:pic>
    <xdr:clientData/>
  </xdr:twoCellAnchor>
  <xdr:twoCellAnchor editAs="oneCell">
    <xdr:from>
      <xdr:col>44</xdr:col>
      <xdr:colOff>6503</xdr:colOff>
      <xdr:row>122</xdr:row>
      <xdr:rowOff>76199</xdr:rowOff>
    </xdr:from>
    <xdr:to>
      <xdr:col>45</xdr:col>
      <xdr:colOff>143007</xdr:colOff>
      <xdr:row>123</xdr:row>
      <xdr:rowOff>185594</xdr:rowOff>
    </xdr:to>
    <xdr:pic>
      <xdr:nvPicPr>
        <xdr:cNvPr id="35" name="Picture 34">
          <a:extLst>
            <a:ext uri="{FF2B5EF4-FFF2-40B4-BE49-F238E27FC236}">
              <a16:creationId xmlns:a16="http://schemas.microsoft.com/office/drawing/2014/main" id="{D6D0A5DD-BB40-4D49-A4BD-D890BB44FED9}"/>
            </a:ext>
          </a:extLst>
        </xdr:cNvPr>
        <xdr:cNvPicPr>
          <a:picLocks noChangeAspect="1"/>
        </xdr:cNvPicPr>
      </xdr:nvPicPr>
      <xdr:blipFill>
        <a:blip xmlns:r="http://schemas.openxmlformats.org/officeDocument/2006/relationships" r:embed="rId6"/>
        <a:stretch>
          <a:fillRect/>
        </a:stretch>
      </xdr:blipFill>
      <xdr:spPr>
        <a:xfrm>
          <a:off x="7969403" y="27965399"/>
          <a:ext cx="317479" cy="337995"/>
        </a:xfrm>
        <a:prstGeom prst="rect">
          <a:avLst/>
        </a:prstGeom>
      </xdr:spPr>
    </xdr:pic>
    <xdr:clientData/>
  </xdr:twoCellAnchor>
  <xdr:twoCellAnchor editAs="oneCell">
    <xdr:from>
      <xdr:col>53</xdr:col>
      <xdr:colOff>114300</xdr:colOff>
      <xdr:row>58</xdr:row>
      <xdr:rowOff>123825</xdr:rowOff>
    </xdr:from>
    <xdr:to>
      <xdr:col>65</xdr:col>
      <xdr:colOff>95250</xdr:colOff>
      <xdr:row>77</xdr:row>
      <xdr:rowOff>94130</xdr:rowOff>
    </xdr:to>
    <xdr:pic>
      <xdr:nvPicPr>
        <xdr:cNvPr id="36" name="Graphic 35">
          <a:extLst>
            <a:ext uri="{FF2B5EF4-FFF2-40B4-BE49-F238E27FC236}">
              <a16:creationId xmlns:a16="http://schemas.microsoft.com/office/drawing/2014/main" id="{0073C054-8785-4376-8ECB-0DA842BE22AC}"/>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9705975" y="13382625"/>
          <a:ext cx="2152650" cy="4313705"/>
        </a:xfrm>
        <a:prstGeom prst="rect">
          <a:avLst/>
        </a:prstGeom>
      </xdr:spPr>
    </xdr:pic>
    <xdr:clientData/>
  </xdr:twoCellAnchor>
  <xdr:twoCellAnchor editAs="oneCell">
    <xdr:from>
      <xdr:col>2</xdr:col>
      <xdr:colOff>37092</xdr:colOff>
      <xdr:row>171</xdr:row>
      <xdr:rowOff>33618</xdr:rowOff>
    </xdr:from>
    <xdr:to>
      <xdr:col>11</xdr:col>
      <xdr:colOff>69921</xdr:colOff>
      <xdr:row>185</xdr:row>
      <xdr:rowOff>160805</xdr:rowOff>
    </xdr:to>
    <xdr:pic>
      <xdr:nvPicPr>
        <xdr:cNvPr id="37" name="Graphic 36">
          <a:extLst>
            <a:ext uri="{FF2B5EF4-FFF2-40B4-BE49-F238E27FC236}">
              <a16:creationId xmlns:a16="http://schemas.microsoft.com/office/drawing/2014/main" id="{9B183C30-5942-4BED-AC1A-7D63DDB2262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399042" y="39124218"/>
          <a:ext cx="1661604" cy="33275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152401</xdr:colOff>
      <xdr:row>1</xdr:row>
      <xdr:rowOff>38100</xdr:rowOff>
    </xdr:from>
    <xdr:to>
      <xdr:col>12</xdr:col>
      <xdr:colOff>104776</xdr:colOff>
      <xdr:row>5</xdr:row>
      <xdr:rowOff>81998</xdr:rowOff>
    </xdr:to>
    <xdr:pic>
      <xdr:nvPicPr>
        <xdr:cNvPr id="2" name="Picture 1">
          <a:extLst>
            <a:ext uri="{FF2B5EF4-FFF2-40B4-BE49-F238E27FC236}">
              <a16:creationId xmlns:a16="http://schemas.microsoft.com/office/drawing/2014/main" id="{7B246524-B013-43D9-961F-410FF65E28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6" y="266700"/>
          <a:ext cx="1943100" cy="958298"/>
        </a:xfrm>
        <a:prstGeom prst="rect">
          <a:avLst/>
        </a:prstGeom>
      </xdr:spPr>
    </xdr:pic>
    <xdr:clientData/>
  </xdr:twoCellAnchor>
  <xdr:twoCellAnchor editAs="oneCell">
    <xdr:from>
      <xdr:col>32</xdr:col>
      <xdr:colOff>107674</xdr:colOff>
      <xdr:row>21</xdr:row>
      <xdr:rowOff>41413</xdr:rowOff>
    </xdr:from>
    <xdr:to>
      <xdr:col>40</xdr:col>
      <xdr:colOff>171864</xdr:colOff>
      <xdr:row>34</xdr:row>
      <xdr:rowOff>70402</xdr:rowOff>
    </xdr:to>
    <xdr:pic>
      <xdr:nvPicPr>
        <xdr:cNvPr id="3" name="Graphic 2">
          <a:extLst>
            <a:ext uri="{FF2B5EF4-FFF2-40B4-BE49-F238E27FC236}">
              <a16:creationId xmlns:a16="http://schemas.microsoft.com/office/drawing/2014/main" id="{095A3602-C81D-4FD2-B7B8-C80EF1D0A1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98874" y="4842013"/>
          <a:ext cx="1511990" cy="30007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152401</xdr:colOff>
      <xdr:row>1</xdr:row>
      <xdr:rowOff>38100</xdr:rowOff>
    </xdr:from>
    <xdr:to>
      <xdr:col>12</xdr:col>
      <xdr:colOff>104776</xdr:colOff>
      <xdr:row>5</xdr:row>
      <xdr:rowOff>81998</xdr:rowOff>
    </xdr:to>
    <xdr:pic>
      <xdr:nvPicPr>
        <xdr:cNvPr id="2" name="Picture 1">
          <a:extLst>
            <a:ext uri="{FF2B5EF4-FFF2-40B4-BE49-F238E27FC236}">
              <a16:creationId xmlns:a16="http://schemas.microsoft.com/office/drawing/2014/main" id="{CD5E6729-9ECF-4ED0-A8C9-98EF4560F9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6" y="266700"/>
          <a:ext cx="1943100" cy="958298"/>
        </a:xfrm>
        <a:prstGeom prst="rect">
          <a:avLst/>
        </a:prstGeom>
      </xdr:spPr>
    </xdr:pic>
    <xdr:clientData/>
  </xdr:twoCellAnchor>
  <xdr:twoCellAnchor editAs="oneCell">
    <xdr:from>
      <xdr:col>32</xdr:col>
      <xdr:colOff>140806</xdr:colOff>
      <xdr:row>20</xdr:row>
      <xdr:rowOff>157370</xdr:rowOff>
    </xdr:from>
    <xdr:to>
      <xdr:col>41</xdr:col>
      <xdr:colOff>123754</xdr:colOff>
      <xdr:row>34</xdr:row>
      <xdr:rowOff>156396</xdr:rowOff>
    </xdr:to>
    <xdr:pic>
      <xdr:nvPicPr>
        <xdr:cNvPr id="3" name="Graphic 2">
          <a:extLst>
            <a:ext uri="{FF2B5EF4-FFF2-40B4-BE49-F238E27FC236}">
              <a16:creationId xmlns:a16="http://schemas.microsoft.com/office/drawing/2014/main" id="{855CFE53-AC85-4093-979F-58C80FAC967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932006" y="4729370"/>
          <a:ext cx="1611723" cy="31994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152401</xdr:colOff>
      <xdr:row>1</xdr:row>
      <xdr:rowOff>38100</xdr:rowOff>
    </xdr:from>
    <xdr:to>
      <xdr:col>12</xdr:col>
      <xdr:colOff>104776</xdr:colOff>
      <xdr:row>5</xdr:row>
      <xdr:rowOff>81998</xdr:rowOff>
    </xdr:to>
    <xdr:pic>
      <xdr:nvPicPr>
        <xdr:cNvPr id="2" name="Picture 1">
          <a:extLst>
            <a:ext uri="{FF2B5EF4-FFF2-40B4-BE49-F238E27FC236}">
              <a16:creationId xmlns:a16="http://schemas.microsoft.com/office/drawing/2014/main" id="{5914954D-5C75-441E-A2CC-67C684999C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6" y="266700"/>
          <a:ext cx="1943100" cy="958298"/>
        </a:xfrm>
        <a:prstGeom prst="rect">
          <a:avLst/>
        </a:prstGeom>
      </xdr:spPr>
    </xdr:pic>
    <xdr:clientData/>
  </xdr:twoCellAnchor>
  <xdr:twoCellAnchor editAs="oneCell">
    <xdr:from>
      <xdr:col>32</xdr:col>
      <xdr:colOff>76443</xdr:colOff>
      <xdr:row>20</xdr:row>
      <xdr:rowOff>66261</xdr:rowOff>
    </xdr:from>
    <xdr:to>
      <xdr:col>41</xdr:col>
      <xdr:colOff>119807</xdr:colOff>
      <xdr:row>34</xdr:row>
      <xdr:rowOff>157370</xdr:rowOff>
    </xdr:to>
    <xdr:pic>
      <xdr:nvPicPr>
        <xdr:cNvPr id="3" name="Graphic 2">
          <a:extLst>
            <a:ext uri="{FF2B5EF4-FFF2-40B4-BE49-F238E27FC236}">
              <a16:creationId xmlns:a16="http://schemas.microsoft.com/office/drawing/2014/main" id="{28297DDF-DC34-465D-B921-5E2F6256286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67643" y="4638261"/>
          <a:ext cx="1672139" cy="32915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248C-C4C6-46D5-AB1D-0048D9BC17A8}">
  <sheetPr>
    <pageSetUpPr fitToPage="1"/>
  </sheetPr>
  <dimension ref="B1:IO305"/>
  <sheetViews>
    <sheetView tabSelected="1" zoomScaleNormal="100" workbookViewId="0"/>
  </sheetViews>
  <sheetFormatPr defaultRowHeight="15" x14ac:dyDescent="0.25"/>
  <cols>
    <col min="1" max="128" width="2.7109375" style="1" customWidth="1"/>
    <col min="129" max="131" width="2.7109375" style="2" customWidth="1"/>
    <col min="132" max="133" width="2.7109375" style="1" customWidth="1"/>
    <col min="134" max="148" width="2.7109375" style="57"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x14ac:dyDescent="0.25"/>
    <row r="2" spans="2:148" ht="18" customHeight="1" x14ac:dyDescent="0.25">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5"/>
      <c r="AR2" s="3"/>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5"/>
    </row>
    <row r="3" spans="2:148" ht="18" customHeight="1" x14ac:dyDescent="0.25">
      <c r="B3" s="6"/>
      <c r="AO3" s="7" t="s">
        <v>341</v>
      </c>
      <c r="AP3" s="8"/>
      <c r="AR3" s="6"/>
      <c r="CF3" s="8"/>
    </row>
    <row r="4" spans="2:148" ht="18" customHeight="1" x14ac:dyDescent="0.25">
      <c r="B4" s="6"/>
      <c r="AO4" s="9" t="s">
        <v>4</v>
      </c>
      <c r="AP4" s="8"/>
      <c r="AR4" s="6"/>
      <c r="CF4" s="8"/>
      <c r="DY4" s="1"/>
      <c r="DZ4" s="1"/>
      <c r="EA4" s="1"/>
      <c r="ED4" s="1"/>
      <c r="EE4" s="1"/>
      <c r="EF4" s="1"/>
      <c r="EG4" s="1"/>
      <c r="EH4" s="1"/>
      <c r="EI4" s="1"/>
      <c r="EJ4" s="1"/>
      <c r="EK4" s="1"/>
      <c r="EL4" s="1"/>
      <c r="EM4" s="1"/>
      <c r="EN4" s="1"/>
      <c r="EO4" s="1"/>
      <c r="EP4" s="1"/>
      <c r="EQ4" s="1"/>
      <c r="ER4" s="1"/>
    </row>
    <row r="5" spans="2:148" ht="18" customHeight="1" thickBot="1" x14ac:dyDescent="0.3">
      <c r="B5" s="6"/>
      <c r="AO5" s="9" t="s">
        <v>12</v>
      </c>
      <c r="AP5" s="8"/>
      <c r="AR5" s="6"/>
      <c r="AS5" s="72" t="s">
        <v>305</v>
      </c>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1"/>
      <c r="CD5" s="10"/>
      <c r="CF5" s="8"/>
      <c r="DY5" s="1"/>
      <c r="DZ5" s="1"/>
      <c r="EA5" s="1"/>
      <c r="ED5" s="1"/>
      <c r="EE5" s="1"/>
      <c r="EF5" s="1"/>
      <c r="EG5" s="1"/>
      <c r="EH5" s="1"/>
      <c r="EI5" s="1"/>
      <c r="EJ5" s="1"/>
      <c r="EK5" s="1"/>
      <c r="EL5" s="1"/>
      <c r="EM5" s="1"/>
      <c r="EN5" s="1"/>
      <c r="EO5" s="1"/>
      <c r="EP5" s="1"/>
      <c r="EQ5" s="1"/>
      <c r="ER5" s="1"/>
    </row>
    <row r="6" spans="2:148" ht="18" customHeight="1" thickBot="1" x14ac:dyDescent="0.3">
      <c r="B6" s="6"/>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G6" s="10"/>
      <c r="AH6" s="10"/>
      <c r="AI6" s="10"/>
      <c r="AJ6" s="10"/>
      <c r="AK6" s="10"/>
      <c r="AL6" s="10"/>
      <c r="AM6" s="10"/>
      <c r="AN6" s="10"/>
      <c r="AO6" s="11" t="s">
        <v>13</v>
      </c>
      <c r="AP6" s="8"/>
      <c r="AR6" s="6"/>
      <c r="CF6" s="8"/>
      <c r="DY6" s="1"/>
      <c r="DZ6" s="1"/>
      <c r="EA6" s="1"/>
      <c r="ED6" s="1"/>
      <c r="EE6" s="1"/>
      <c r="EF6" s="1"/>
      <c r="EG6" s="1"/>
      <c r="EH6" s="1"/>
      <c r="EI6" s="1"/>
      <c r="EJ6" s="1"/>
      <c r="EK6" s="1"/>
      <c r="EL6" s="1"/>
      <c r="EM6" s="1"/>
      <c r="EN6" s="1"/>
      <c r="EO6" s="1"/>
      <c r="EP6" s="1"/>
      <c r="EQ6" s="1"/>
      <c r="ER6" s="1"/>
    </row>
    <row r="7" spans="2:148" ht="18" customHeight="1" x14ac:dyDescent="0.25">
      <c r="B7" s="6"/>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8"/>
      <c r="AR7" s="6"/>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8"/>
      <c r="DY7" s="1"/>
      <c r="DZ7" s="1"/>
      <c r="EA7" s="1"/>
      <c r="ED7" s="1"/>
      <c r="EE7" s="1"/>
      <c r="EF7" s="1"/>
      <c r="EG7" s="1"/>
      <c r="EH7" s="1"/>
      <c r="EI7" s="1"/>
      <c r="EJ7" s="1"/>
      <c r="EK7" s="1"/>
      <c r="EL7" s="1"/>
      <c r="EM7" s="1"/>
      <c r="EN7" s="1"/>
      <c r="EO7" s="1"/>
      <c r="EP7" s="1"/>
      <c r="EQ7" s="1"/>
      <c r="ER7" s="1"/>
    </row>
    <row r="8" spans="2:148" ht="18" customHeight="1" x14ac:dyDescent="0.25">
      <c r="B8" s="6"/>
      <c r="C8" s="80" t="s">
        <v>301</v>
      </c>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
      <c r="AR8" s="6"/>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8"/>
      <c r="DY8" s="1"/>
      <c r="DZ8" s="1"/>
      <c r="EA8" s="1"/>
      <c r="ED8" s="1"/>
      <c r="EE8" s="1"/>
      <c r="EF8" s="1"/>
      <c r="EG8" s="1"/>
      <c r="EH8" s="1"/>
      <c r="EI8" s="1"/>
      <c r="EJ8" s="1"/>
      <c r="EK8" s="1"/>
      <c r="EL8" s="1"/>
      <c r="EM8" s="1"/>
      <c r="EN8" s="1"/>
      <c r="EO8" s="1"/>
      <c r="EP8" s="1"/>
      <c r="EQ8" s="1"/>
      <c r="ER8" s="1"/>
    </row>
    <row r="9" spans="2:148" ht="18" customHeight="1" x14ac:dyDescent="0.25">
      <c r="B9" s="6"/>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
      <c r="AR9" s="6"/>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8"/>
      <c r="DY9" s="1"/>
      <c r="DZ9" s="1"/>
      <c r="EA9" s="1"/>
      <c r="ED9" s="1"/>
      <c r="EE9" s="1"/>
      <c r="EF9" s="1"/>
      <c r="EG9" s="1"/>
      <c r="EH9" s="1"/>
      <c r="EI9" s="1"/>
      <c r="EJ9" s="1"/>
      <c r="EK9" s="1"/>
      <c r="EL9" s="1"/>
      <c r="EM9" s="1"/>
      <c r="EN9" s="1"/>
      <c r="EO9" s="1"/>
      <c r="EP9" s="1"/>
      <c r="EQ9" s="1"/>
      <c r="ER9" s="1"/>
    </row>
    <row r="10" spans="2:148" ht="18" customHeight="1" x14ac:dyDescent="0.25">
      <c r="B10" s="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8"/>
      <c r="AR10" s="6"/>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8"/>
      <c r="DY10" s="1"/>
      <c r="DZ10" s="1"/>
      <c r="EA10" s="1"/>
      <c r="ED10" s="1"/>
      <c r="EE10" s="1"/>
      <c r="EF10" s="1"/>
      <c r="EG10" s="1"/>
      <c r="EH10" s="1"/>
      <c r="EI10" s="1"/>
      <c r="EJ10" s="1"/>
      <c r="EK10" s="1"/>
      <c r="EL10" s="1"/>
      <c r="EM10" s="1"/>
      <c r="EN10" s="1"/>
      <c r="EO10" s="1"/>
      <c r="EP10" s="1"/>
      <c r="EQ10" s="1"/>
      <c r="ER10" s="1"/>
    </row>
    <row r="11" spans="2:148" ht="18" customHeight="1" x14ac:dyDescent="0.25">
      <c r="B11" s="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8"/>
      <c r="AR11" s="6"/>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8"/>
      <c r="DY11" s="1"/>
      <c r="DZ11" s="1"/>
      <c r="EA11" s="1"/>
      <c r="ED11" s="1"/>
      <c r="EE11" s="1"/>
      <c r="EF11" s="1"/>
      <c r="EG11" s="1"/>
      <c r="EH11" s="1"/>
      <c r="EI11" s="1"/>
      <c r="EJ11" s="1"/>
      <c r="EK11" s="1"/>
      <c r="EL11" s="1"/>
      <c r="EM11" s="1"/>
      <c r="EN11" s="1"/>
      <c r="EO11" s="1"/>
      <c r="EP11" s="1"/>
      <c r="EQ11" s="1"/>
      <c r="ER11" s="1"/>
    </row>
    <row r="12" spans="2:148" ht="18" customHeight="1" x14ac:dyDescent="0.25">
      <c r="B12" s="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8"/>
      <c r="AR12" s="6"/>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8"/>
      <c r="DY12" s="1"/>
      <c r="DZ12" s="1"/>
      <c r="EA12" s="1"/>
      <c r="ED12" s="1"/>
      <c r="EE12" s="1"/>
      <c r="EF12" s="1"/>
      <c r="EG12" s="1"/>
      <c r="EH12" s="1"/>
      <c r="EI12" s="1"/>
      <c r="EJ12" s="1"/>
      <c r="EK12" s="1"/>
      <c r="EL12" s="1"/>
      <c r="EM12" s="1"/>
      <c r="EN12" s="1"/>
      <c r="EO12" s="1"/>
      <c r="EP12" s="1"/>
      <c r="EQ12" s="1"/>
      <c r="ER12" s="1"/>
    </row>
    <row r="13" spans="2:148" ht="18" customHeight="1" x14ac:dyDescent="0.25">
      <c r="B13" s="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8"/>
      <c r="AR13" s="6"/>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8"/>
      <c r="DY13" s="1"/>
      <c r="DZ13" s="1"/>
      <c r="EA13" s="1"/>
      <c r="ED13" s="1"/>
      <c r="EE13" s="1"/>
      <c r="EF13" s="1"/>
      <c r="EG13" s="1"/>
      <c r="EH13" s="1"/>
      <c r="EI13" s="1"/>
      <c r="EJ13" s="1"/>
      <c r="EK13" s="1"/>
      <c r="EL13" s="1"/>
      <c r="EM13" s="1"/>
      <c r="EN13" s="1"/>
      <c r="EO13" s="1"/>
      <c r="EP13" s="1"/>
      <c r="EQ13" s="1"/>
      <c r="ER13" s="1"/>
    </row>
    <row r="14" spans="2:148" ht="18" customHeight="1" x14ac:dyDescent="0.25">
      <c r="B14" s="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8"/>
      <c r="AR14" s="6"/>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8"/>
      <c r="DY14" s="1"/>
      <c r="DZ14" s="1"/>
      <c r="EA14" s="1"/>
      <c r="ED14" s="1"/>
      <c r="EE14" s="1"/>
      <c r="EF14" s="1"/>
      <c r="EG14" s="1"/>
      <c r="EH14" s="1"/>
      <c r="EI14" s="1"/>
      <c r="EJ14" s="1"/>
      <c r="EK14" s="1"/>
      <c r="EL14" s="1"/>
      <c r="EM14" s="1"/>
      <c r="EN14" s="1"/>
      <c r="EO14" s="1"/>
      <c r="EP14" s="1"/>
      <c r="EQ14" s="1"/>
      <c r="ER14" s="1"/>
    </row>
    <row r="15" spans="2:148" ht="18" customHeight="1" x14ac:dyDescent="0.25">
      <c r="B15" s="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8"/>
      <c r="AR15" s="6"/>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8"/>
      <c r="CX15" s="38"/>
      <c r="DY15" s="1"/>
      <c r="DZ15" s="1"/>
      <c r="EA15" s="1"/>
      <c r="ED15" s="1"/>
      <c r="EE15" s="1"/>
      <c r="EF15" s="1"/>
      <c r="EG15" s="1"/>
      <c r="EH15" s="1"/>
      <c r="EI15" s="1"/>
      <c r="EJ15" s="1"/>
      <c r="EK15" s="1"/>
      <c r="EL15" s="1"/>
      <c r="EM15" s="1"/>
      <c r="EN15" s="1"/>
      <c r="EO15" s="1"/>
      <c r="EP15" s="1"/>
      <c r="EQ15" s="1"/>
      <c r="ER15" s="1"/>
    </row>
    <row r="16" spans="2:148" ht="18" customHeight="1" x14ac:dyDescent="0.25">
      <c r="B16" s="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8"/>
      <c r="AR16" s="6"/>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8"/>
      <c r="DY16" s="1"/>
      <c r="DZ16" s="1"/>
      <c r="EA16" s="1"/>
      <c r="ED16" s="1"/>
      <c r="EE16" s="1"/>
      <c r="EF16" s="1"/>
      <c r="EG16" s="1"/>
      <c r="EH16" s="1"/>
      <c r="EI16" s="1"/>
      <c r="EJ16" s="1"/>
      <c r="EK16" s="1"/>
      <c r="EL16" s="1"/>
      <c r="EM16" s="1"/>
      <c r="EN16" s="1"/>
      <c r="EO16" s="1"/>
      <c r="EP16" s="1"/>
      <c r="EQ16" s="1"/>
      <c r="ER16" s="1"/>
    </row>
    <row r="17" spans="2:148" ht="18" customHeight="1" x14ac:dyDescent="0.25">
      <c r="B17" s="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8"/>
      <c r="AR17" s="6"/>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8"/>
      <c r="DY17" s="1"/>
      <c r="DZ17" s="1"/>
      <c r="EA17" s="1"/>
      <c r="ED17" s="1"/>
      <c r="EE17" s="1"/>
      <c r="EF17" s="1"/>
      <c r="EG17" s="1"/>
      <c r="EH17" s="1"/>
      <c r="EI17" s="1"/>
      <c r="EJ17" s="1"/>
      <c r="EK17" s="1"/>
      <c r="EL17" s="1"/>
      <c r="EM17" s="1"/>
      <c r="EN17" s="1"/>
      <c r="EO17" s="1"/>
      <c r="EP17" s="1"/>
      <c r="EQ17" s="1"/>
      <c r="ER17" s="1"/>
    </row>
    <row r="18" spans="2:148" ht="18" customHeight="1" x14ac:dyDescent="0.25">
      <c r="B18" s="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8"/>
      <c r="AR18" s="6"/>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8"/>
      <c r="DY18" s="1"/>
      <c r="DZ18" s="1"/>
      <c r="EA18" s="1"/>
      <c r="ED18" s="1"/>
      <c r="EE18" s="1"/>
      <c r="EF18" s="1"/>
      <c r="EG18" s="1"/>
      <c r="EH18" s="1"/>
      <c r="EI18" s="1"/>
      <c r="EJ18" s="1"/>
      <c r="EK18" s="1"/>
      <c r="EL18" s="1"/>
      <c r="EM18" s="1"/>
      <c r="EN18" s="1"/>
      <c r="EO18" s="1"/>
      <c r="EP18" s="1"/>
      <c r="EQ18" s="1"/>
      <c r="ER18" s="1"/>
    </row>
    <row r="19" spans="2:148" ht="18" customHeight="1" x14ac:dyDescent="0.25">
      <c r="B19" s="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8"/>
      <c r="AR19" s="6"/>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8"/>
      <c r="DY19" s="1"/>
      <c r="DZ19" s="1"/>
      <c r="EA19" s="1"/>
      <c r="ED19" s="1"/>
      <c r="EE19" s="1"/>
      <c r="EF19" s="1"/>
      <c r="EG19" s="1"/>
      <c r="EH19" s="1"/>
      <c r="EI19" s="1"/>
      <c r="EJ19" s="1"/>
      <c r="EK19" s="1"/>
      <c r="EL19" s="1"/>
      <c r="EM19" s="1"/>
      <c r="EN19" s="1"/>
      <c r="EO19" s="1"/>
      <c r="EP19" s="1"/>
      <c r="EQ19" s="1"/>
      <c r="ER19" s="1"/>
    </row>
    <row r="20" spans="2:148" ht="18" customHeight="1" x14ac:dyDescent="0.25">
      <c r="B20" s="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8"/>
      <c r="AR20" s="6"/>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8"/>
      <c r="DY20" s="1"/>
      <c r="DZ20" s="1"/>
      <c r="EA20" s="1"/>
      <c r="ED20" s="1"/>
      <c r="EE20" s="1"/>
      <c r="EF20" s="1"/>
      <c r="EG20" s="1"/>
      <c r="EH20" s="1"/>
      <c r="EI20" s="1"/>
      <c r="EJ20" s="1"/>
      <c r="EK20" s="1"/>
      <c r="EL20" s="1"/>
      <c r="EM20" s="1"/>
      <c r="EN20" s="1"/>
      <c r="EO20" s="1"/>
      <c r="EP20" s="1"/>
      <c r="EQ20" s="1"/>
      <c r="ER20" s="1"/>
    </row>
    <row r="21" spans="2:148" ht="18" customHeight="1" x14ac:dyDescent="0.25">
      <c r="B21" s="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8"/>
      <c r="AR21" s="6"/>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8"/>
      <c r="DY21" s="1"/>
      <c r="DZ21" s="1"/>
      <c r="EA21" s="1"/>
      <c r="ED21" s="1"/>
      <c r="EE21" s="1"/>
      <c r="EF21" s="1"/>
      <c r="EG21" s="1"/>
      <c r="EH21" s="1"/>
      <c r="EI21" s="1"/>
      <c r="EJ21" s="1"/>
      <c r="EK21" s="1"/>
      <c r="EL21" s="1"/>
      <c r="EM21" s="1"/>
      <c r="EN21" s="1"/>
      <c r="EO21" s="1"/>
      <c r="EP21" s="1"/>
      <c r="EQ21" s="1"/>
      <c r="ER21" s="1"/>
    </row>
    <row r="22" spans="2:148" ht="18" customHeight="1" x14ac:dyDescent="0.25">
      <c r="B22" s="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8"/>
      <c r="AR22" s="6"/>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8"/>
      <c r="DY22" s="1"/>
      <c r="DZ22" s="1"/>
      <c r="EA22" s="1"/>
      <c r="ED22" s="1"/>
      <c r="EE22" s="1"/>
      <c r="EF22" s="1"/>
      <c r="EG22" s="1"/>
      <c r="EH22" s="1"/>
      <c r="EI22" s="1"/>
      <c r="EJ22" s="1"/>
      <c r="EK22" s="1"/>
      <c r="EL22" s="1"/>
      <c r="EM22" s="1"/>
      <c r="EN22" s="1"/>
      <c r="EO22" s="1"/>
      <c r="EP22" s="1"/>
      <c r="EQ22" s="1"/>
      <c r="ER22" s="1"/>
    </row>
    <row r="23" spans="2:148" ht="18" customHeight="1" x14ac:dyDescent="0.25">
      <c r="B23" s="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8"/>
      <c r="AR23" s="6"/>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8"/>
      <c r="DY23" s="1"/>
      <c r="DZ23" s="1"/>
      <c r="EA23" s="1"/>
      <c r="ED23" s="1"/>
      <c r="EE23" s="1"/>
      <c r="EF23" s="1"/>
      <c r="EG23" s="1"/>
      <c r="EH23" s="1"/>
      <c r="EI23" s="1"/>
      <c r="EJ23" s="1"/>
      <c r="EK23" s="1"/>
      <c r="EL23" s="1"/>
      <c r="EM23" s="1"/>
      <c r="EN23" s="1"/>
      <c r="EO23" s="1"/>
      <c r="EP23" s="1"/>
      <c r="EQ23" s="1"/>
      <c r="ER23" s="1"/>
    </row>
    <row r="24" spans="2:148" ht="18" customHeight="1" x14ac:dyDescent="0.25">
      <c r="B24" s="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8"/>
      <c r="AR24" s="6"/>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8"/>
      <c r="DY24" s="1"/>
      <c r="DZ24" s="1"/>
      <c r="EA24" s="1"/>
      <c r="ED24" s="1"/>
      <c r="EE24" s="1"/>
      <c r="EF24" s="1"/>
      <c r="EG24" s="1"/>
      <c r="EH24" s="1"/>
      <c r="EI24" s="1"/>
      <c r="EJ24" s="1"/>
      <c r="EK24" s="1"/>
      <c r="EL24" s="1"/>
      <c r="EM24" s="1"/>
      <c r="EN24" s="1"/>
      <c r="EO24" s="1"/>
      <c r="EP24" s="1"/>
      <c r="EQ24" s="1"/>
      <c r="ER24" s="1"/>
    </row>
    <row r="25" spans="2:148" ht="18" customHeight="1" x14ac:dyDescent="0.3">
      <c r="B25" s="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70"/>
      <c r="AR25" s="6"/>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8"/>
      <c r="DY25" s="1"/>
      <c r="DZ25" s="1"/>
      <c r="EA25" s="1"/>
      <c r="ED25" s="1"/>
      <c r="EE25" s="1"/>
      <c r="EF25" s="1"/>
      <c r="EG25" s="1"/>
      <c r="EH25" s="1"/>
      <c r="EI25" s="1"/>
      <c r="EJ25" s="1"/>
      <c r="EK25" s="1"/>
      <c r="EL25" s="1"/>
      <c r="EM25" s="1"/>
      <c r="EN25" s="1"/>
      <c r="EO25" s="1"/>
      <c r="EP25" s="1"/>
      <c r="EQ25" s="1"/>
      <c r="ER25" s="1"/>
    </row>
    <row r="26" spans="2:148" ht="18" customHeight="1" x14ac:dyDescent="0.25">
      <c r="B26" s="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8"/>
      <c r="AR26" s="6"/>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27"/>
      <c r="DY26" s="1"/>
      <c r="DZ26" s="1"/>
      <c r="EA26" s="1"/>
      <c r="ED26" s="1"/>
      <c r="EE26" s="1"/>
      <c r="EF26" s="1"/>
      <c r="EG26" s="1"/>
      <c r="EH26" s="1"/>
      <c r="EI26" s="1"/>
      <c r="EJ26" s="1"/>
      <c r="EK26" s="1"/>
      <c r="EL26" s="1"/>
      <c r="EM26" s="1"/>
      <c r="EN26" s="1"/>
      <c r="EO26" s="1"/>
      <c r="EP26" s="1"/>
      <c r="EQ26" s="1"/>
      <c r="ER26" s="1"/>
    </row>
    <row r="27" spans="2:148" ht="18" customHeight="1" x14ac:dyDescent="0.25">
      <c r="B27" s="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8"/>
      <c r="AR27" s="6"/>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8"/>
      <c r="CQ27" s="1" t="s">
        <v>11</v>
      </c>
      <c r="DY27" s="1"/>
      <c r="DZ27" s="1"/>
      <c r="EA27" s="1"/>
      <c r="ED27" s="1"/>
      <c r="EE27" s="1"/>
      <c r="EF27" s="1"/>
      <c r="EG27" s="1"/>
      <c r="EH27" s="1"/>
      <c r="EI27" s="1"/>
      <c r="EJ27" s="1"/>
      <c r="EK27" s="1"/>
      <c r="EL27" s="1"/>
      <c r="EM27" s="1"/>
      <c r="EN27" s="1"/>
      <c r="EO27" s="1"/>
      <c r="EP27" s="1"/>
      <c r="EQ27" s="1"/>
      <c r="ER27" s="1"/>
    </row>
    <row r="28" spans="2:148" ht="18" customHeight="1" x14ac:dyDescent="0.25">
      <c r="B28" s="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8"/>
      <c r="AR28" s="6"/>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8"/>
      <c r="CQ28" s="1" t="s">
        <v>11</v>
      </c>
      <c r="DY28" s="1"/>
      <c r="DZ28" s="1"/>
      <c r="EA28" s="1"/>
      <c r="ED28" s="1"/>
      <c r="EE28" s="1"/>
      <c r="EF28" s="1"/>
      <c r="EG28" s="1"/>
      <c r="EH28" s="1"/>
      <c r="EI28" s="1"/>
      <c r="EJ28" s="1"/>
      <c r="EK28" s="1"/>
      <c r="EL28" s="1"/>
      <c r="EM28" s="1"/>
      <c r="EN28" s="1"/>
      <c r="EO28" s="1"/>
      <c r="EP28" s="1"/>
      <c r="EQ28" s="1"/>
      <c r="ER28" s="1"/>
    </row>
    <row r="29" spans="2:148" ht="18" customHeight="1" x14ac:dyDescent="0.25">
      <c r="B29" s="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8"/>
      <c r="AR29" s="6"/>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8"/>
      <c r="CQ29" s="1" t="s">
        <v>11</v>
      </c>
      <c r="DY29" s="1"/>
      <c r="DZ29" s="1"/>
      <c r="EA29" s="1"/>
      <c r="ED29" s="1"/>
      <c r="EE29" s="1"/>
      <c r="EF29" s="1"/>
      <c r="EG29" s="1"/>
      <c r="EH29" s="1"/>
      <c r="EI29" s="1"/>
      <c r="EJ29" s="1"/>
      <c r="EK29" s="1"/>
      <c r="EL29" s="1"/>
      <c r="EM29" s="1"/>
      <c r="EN29" s="1"/>
      <c r="EO29" s="1"/>
      <c r="EP29" s="1"/>
      <c r="EQ29" s="1"/>
      <c r="ER29" s="1"/>
    </row>
    <row r="30" spans="2:148" ht="18" customHeight="1" x14ac:dyDescent="0.25">
      <c r="B30" s="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8"/>
      <c r="AR30" s="6"/>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8"/>
      <c r="DY30" s="1"/>
      <c r="DZ30" s="1"/>
      <c r="EA30" s="1"/>
      <c r="ED30" s="1"/>
      <c r="EE30" s="1"/>
      <c r="EF30" s="1"/>
      <c r="EG30" s="1"/>
      <c r="EH30" s="1"/>
      <c r="EI30" s="1"/>
      <c r="EJ30" s="1"/>
      <c r="EK30" s="1"/>
      <c r="EL30" s="1"/>
      <c r="EM30" s="1"/>
      <c r="EN30" s="1"/>
      <c r="EO30" s="1"/>
      <c r="EP30" s="1"/>
      <c r="EQ30" s="1"/>
      <c r="ER30" s="1"/>
    </row>
    <row r="31" spans="2:148" ht="18" customHeight="1" x14ac:dyDescent="0.25">
      <c r="B31" s="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8"/>
      <c r="AR31" s="6"/>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8"/>
      <c r="DY31" s="1"/>
      <c r="DZ31" s="1"/>
      <c r="EA31" s="1"/>
      <c r="ED31" s="1"/>
      <c r="EE31" s="1"/>
      <c r="EF31" s="1"/>
      <c r="EG31" s="1"/>
      <c r="EH31" s="1"/>
      <c r="EI31" s="1"/>
      <c r="EJ31" s="1"/>
      <c r="EK31" s="1"/>
      <c r="EL31" s="1"/>
      <c r="EM31" s="1"/>
      <c r="EN31" s="1"/>
      <c r="EO31" s="1"/>
      <c r="EP31" s="1"/>
      <c r="EQ31" s="1"/>
      <c r="ER31" s="1"/>
    </row>
    <row r="32" spans="2:148" ht="18" customHeight="1" x14ac:dyDescent="0.25">
      <c r="B32" s="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8"/>
      <c r="AR32" s="6"/>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8"/>
      <c r="DY32" s="1"/>
      <c r="DZ32" s="1"/>
      <c r="EA32" s="1"/>
      <c r="ED32" s="1"/>
      <c r="EE32" s="1"/>
      <c r="EF32" s="1"/>
      <c r="EG32" s="1"/>
      <c r="EH32" s="1"/>
      <c r="EI32" s="1"/>
      <c r="EJ32" s="1"/>
      <c r="EK32" s="1"/>
      <c r="EL32" s="1"/>
      <c r="EM32" s="1"/>
      <c r="EN32" s="1"/>
      <c r="EO32" s="1"/>
      <c r="EP32" s="1"/>
      <c r="EQ32" s="1"/>
      <c r="ER32" s="1"/>
    </row>
    <row r="33" spans="2:249" ht="18" customHeight="1" x14ac:dyDescent="0.25">
      <c r="B33" s="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8"/>
      <c r="AR33" s="6"/>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8"/>
      <c r="DY33" s="1"/>
      <c r="DZ33" s="1"/>
      <c r="EA33" s="1"/>
      <c r="ED33" s="1"/>
      <c r="EE33" s="1"/>
      <c r="EF33" s="1"/>
      <c r="EG33" s="1"/>
      <c r="EH33" s="1"/>
      <c r="EI33" s="1"/>
      <c r="EJ33" s="1"/>
      <c r="EK33" s="1"/>
      <c r="EL33" s="1"/>
      <c r="EM33" s="1"/>
      <c r="EN33" s="1"/>
      <c r="EO33" s="1"/>
      <c r="EP33" s="1"/>
      <c r="EQ33" s="1"/>
      <c r="ER33" s="1"/>
    </row>
    <row r="34" spans="2:249" ht="18" customHeight="1" x14ac:dyDescent="0.25">
      <c r="B34" s="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8"/>
      <c r="AR34" s="6"/>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8"/>
      <c r="DY34" s="1"/>
      <c r="DZ34" s="1"/>
      <c r="EA34" s="1"/>
      <c r="ED34" s="1"/>
      <c r="EE34" s="1"/>
      <c r="EF34" s="1"/>
      <c r="EG34" s="1"/>
      <c r="EH34" s="1"/>
      <c r="EI34" s="1"/>
      <c r="EJ34" s="1"/>
      <c r="EK34" s="1"/>
      <c r="EL34" s="1"/>
      <c r="EM34" s="1"/>
      <c r="EN34" s="1"/>
      <c r="EO34" s="1"/>
      <c r="EP34" s="1"/>
      <c r="EQ34" s="1"/>
      <c r="ER34" s="1"/>
    </row>
    <row r="35" spans="2:249" ht="18" customHeight="1" x14ac:dyDescent="0.25">
      <c r="B35" s="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8"/>
      <c r="AR35" s="6"/>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8"/>
      <c r="DY35" s="1"/>
      <c r="DZ35" s="1"/>
      <c r="EA35" s="1"/>
      <c r="ED35" s="1"/>
      <c r="EE35" s="1"/>
      <c r="EF35" s="1"/>
      <c r="EG35" s="1"/>
      <c r="EH35" s="1"/>
      <c r="EI35" s="1"/>
      <c r="EJ35" s="1"/>
      <c r="EK35" s="1"/>
      <c r="EL35" s="1"/>
      <c r="EM35" s="1"/>
      <c r="EN35" s="1"/>
      <c r="EO35" s="1"/>
      <c r="EP35" s="1"/>
      <c r="EQ35" s="1"/>
      <c r="ER35" s="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row>
    <row r="36" spans="2:249" ht="18" customHeight="1" x14ac:dyDescent="0.25">
      <c r="B36" s="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8"/>
      <c r="AR36" s="6"/>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8"/>
      <c r="DY36" s="1"/>
      <c r="DZ36" s="1"/>
      <c r="EA36" s="1"/>
      <c r="ED36" s="1"/>
      <c r="EE36" s="1"/>
      <c r="EF36" s="1"/>
      <c r="EG36" s="1"/>
      <c r="EH36" s="1"/>
      <c r="EI36" s="1"/>
      <c r="EJ36" s="1"/>
      <c r="EK36" s="1"/>
      <c r="EL36" s="1"/>
      <c r="EM36" s="1"/>
      <c r="EN36" s="1"/>
      <c r="EO36" s="1"/>
      <c r="EP36" s="1"/>
      <c r="EQ36" s="1"/>
      <c r="ER36" s="1"/>
      <c r="HC36" s="24"/>
      <c r="HD36" s="24"/>
      <c r="HE36" s="24"/>
      <c r="HF36" s="24"/>
      <c r="HG36" s="24"/>
      <c r="HH36" s="24"/>
      <c r="HI36" s="24"/>
      <c r="HJ36" s="24"/>
      <c r="HK36" s="24"/>
      <c r="HL36" s="24"/>
      <c r="HM36" s="24"/>
      <c r="HN36" s="24"/>
      <c r="HO36" s="24"/>
      <c r="HP36" s="24"/>
      <c r="HQ36" s="24"/>
      <c r="HR36" s="32"/>
      <c r="HS36" s="82"/>
      <c r="HT36" s="83"/>
      <c r="HU36" s="84"/>
      <c r="HV36" s="33"/>
      <c r="HW36" s="24"/>
      <c r="HX36" s="24"/>
      <c r="HY36" s="24"/>
      <c r="HZ36" s="24"/>
      <c r="IA36" s="24"/>
      <c r="IB36" s="24"/>
      <c r="IC36" s="24"/>
      <c r="ID36" s="24"/>
      <c r="IE36" s="24"/>
      <c r="IF36" s="24"/>
      <c r="IG36" s="24"/>
      <c r="IH36" s="24"/>
      <c r="II36" s="24"/>
      <c r="IJ36" s="24"/>
      <c r="IK36" s="24"/>
      <c r="IL36" s="24"/>
      <c r="IM36" s="24"/>
      <c r="IN36" s="24"/>
      <c r="IO36" s="24"/>
    </row>
    <row r="37" spans="2:249" ht="18" customHeight="1" x14ac:dyDescent="0.25">
      <c r="B37" s="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8"/>
      <c r="AR37" s="6"/>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8"/>
      <c r="DY37" s="1"/>
      <c r="DZ37" s="1"/>
      <c r="EA37" s="1"/>
      <c r="ED37" s="1"/>
      <c r="EE37" s="1"/>
      <c r="EF37" s="1"/>
      <c r="EG37" s="1"/>
      <c r="EH37" s="1"/>
      <c r="EI37" s="1"/>
      <c r="EJ37" s="1"/>
      <c r="EK37" s="1"/>
      <c r="EL37" s="1"/>
      <c r="EM37" s="1"/>
      <c r="EN37" s="1"/>
      <c r="EO37" s="1"/>
      <c r="EP37" s="1"/>
      <c r="EQ37" s="1"/>
      <c r="ER37" s="1"/>
      <c r="HC37" s="24"/>
      <c r="HD37" s="24"/>
      <c r="HE37" s="24"/>
      <c r="HF37" s="24"/>
      <c r="HG37" s="24"/>
      <c r="HH37" s="24"/>
      <c r="HI37" s="24"/>
      <c r="HJ37" s="24"/>
      <c r="HK37" s="24"/>
      <c r="HL37" s="24"/>
      <c r="HM37" s="24"/>
      <c r="HN37" s="35"/>
      <c r="HO37" s="85"/>
      <c r="HP37" s="85"/>
      <c r="HQ37" s="85"/>
      <c r="HR37" s="24"/>
      <c r="HS37" s="24"/>
      <c r="HT37" s="24"/>
      <c r="HU37" s="24"/>
      <c r="HV37" s="24"/>
      <c r="HW37" s="24"/>
      <c r="HX37" s="24"/>
      <c r="HY37" s="24"/>
      <c r="HZ37" s="24"/>
      <c r="IA37" s="24"/>
      <c r="IB37" s="24"/>
      <c r="IC37" s="24"/>
      <c r="ID37" s="24"/>
      <c r="IE37" s="24"/>
      <c r="IF37" s="24"/>
      <c r="IG37" s="24"/>
      <c r="IH37" s="24"/>
      <c r="II37" s="32"/>
      <c r="IJ37" s="78"/>
      <c r="IK37" s="78"/>
      <c r="IL37" s="78"/>
      <c r="IM37" s="24"/>
      <c r="IN37" s="24"/>
      <c r="IO37" s="24"/>
    </row>
    <row r="38" spans="2:249" ht="18" customHeight="1" x14ac:dyDescent="0.25">
      <c r="B38" s="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8"/>
      <c r="AR38" s="6"/>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8"/>
      <c r="DY38" s="1"/>
      <c r="DZ38" s="1"/>
      <c r="EA38" s="1"/>
      <c r="ED38" s="1"/>
      <c r="EE38" s="1"/>
      <c r="EF38" s="1"/>
      <c r="EG38" s="1"/>
      <c r="EH38" s="1"/>
      <c r="EI38" s="1"/>
      <c r="EJ38" s="1"/>
      <c r="EK38" s="1"/>
      <c r="EL38" s="1"/>
      <c r="EM38" s="1"/>
      <c r="EN38" s="1"/>
      <c r="EO38" s="1"/>
      <c r="EP38" s="1"/>
      <c r="EQ38" s="1"/>
      <c r="ER38" s="1"/>
      <c r="HN38" s="35"/>
      <c r="HO38" s="78"/>
      <c r="HP38" s="78"/>
      <c r="HQ38" s="78"/>
      <c r="HR38" s="24"/>
      <c r="HS38" s="24"/>
      <c r="HT38" s="24"/>
      <c r="HU38" s="24"/>
      <c r="HV38" s="24"/>
      <c r="HW38" s="24"/>
      <c r="HX38" s="24"/>
      <c r="HY38" s="24"/>
      <c r="HZ38" s="24"/>
      <c r="IA38" s="24"/>
      <c r="IB38" s="24"/>
      <c r="IC38" s="24"/>
      <c r="ID38" s="24"/>
      <c r="IE38" s="24"/>
      <c r="IF38" s="24"/>
      <c r="IG38" s="24"/>
      <c r="IH38" s="24"/>
      <c r="II38" s="32"/>
      <c r="IJ38" s="78"/>
      <c r="IK38" s="78"/>
      <c r="IL38" s="78"/>
      <c r="IM38" s="24"/>
      <c r="IN38" s="24"/>
      <c r="IO38" s="24"/>
    </row>
    <row r="39" spans="2:249" ht="18" customHeight="1" x14ac:dyDescent="0.25">
      <c r="B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8"/>
      <c r="AR39" s="6"/>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8"/>
      <c r="DY39" s="1"/>
      <c r="DZ39" s="1"/>
      <c r="EA39" s="1"/>
      <c r="ED39" s="1"/>
      <c r="EE39" s="1"/>
      <c r="EF39" s="1"/>
      <c r="EG39" s="1"/>
      <c r="EH39" s="1"/>
      <c r="EI39" s="1"/>
      <c r="EJ39" s="1"/>
      <c r="EK39" s="1"/>
      <c r="EL39" s="1"/>
      <c r="EM39" s="1"/>
      <c r="EN39" s="1"/>
      <c r="EO39" s="1"/>
      <c r="EP39" s="1"/>
      <c r="EQ39" s="1"/>
      <c r="ER39" s="1"/>
    </row>
    <row r="40" spans="2:249" ht="18" customHeight="1" x14ac:dyDescent="0.25">
      <c r="B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8"/>
      <c r="AR40" s="6"/>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8"/>
      <c r="DY40" s="1"/>
      <c r="DZ40" s="1"/>
      <c r="EA40" s="1"/>
      <c r="ED40" s="1"/>
      <c r="EE40" s="1"/>
      <c r="EF40" s="1"/>
      <c r="EG40" s="1"/>
      <c r="EH40" s="1"/>
      <c r="EI40" s="1"/>
      <c r="EJ40" s="1"/>
      <c r="EK40" s="1"/>
      <c r="EL40" s="1"/>
      <c r="EM40" s="1"/>
      <c r="EN40" s="1"/>
      <c r="EO40" s="1"/>
      <c r="EP40" s="1"/>
      <c r="EQ40" s="1"/>
      <c r="ER40" s="1"/>
      <c r="II40" s="86"/>
      <c r="IJ40" s="86"/>
      <c r="IK40" s="86"/>
      <c r="IL40" s="86"/>
      <c r="IM40" s="86"/>
    </row>
    <row r="41" spans="2:249" ht="18" customHeight="1" x14ac:dyDescent="0.25">
      <c r="B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8"/>
      <c r="AR41" s="6"/>
      <c r="AS41" s="69"/>
      <c r="AT41" s="69"/>
      <c r="AU41" s="69"/>
      <c r="AV41" s="69"/>
      <c r="AW41" s="69"/>
      <c r="AX41" s="69"/>
      <c r="AY41" s="69"/>
      <c r="AZ41" s="69"/>
      <c r="BA41" s="69"/>
      <c r="BB41" s="69"/>
      <c r="BC41" s="69"/>
      <c r="BD41" s="69"/>
      <c r="BE41" s="69"/>
      <c r="BF41" s="69"/>
      <c r="BG41" s="69"/>
      <c r="BH41" s="69"/>
      <c r="BI41" s="69"/>
      <c r="BJ41" s="69"/>
      <c r="BK41" s="69"/>
      <c r="BL41" s="69"/>
      <c r="BM41" s="69"/>
      <c r="BN41" s="69"/>
      <c r="BU41" s="69"/>
      <c r="BV41" s="69"/>
      <c r="BW41" s="69"/>
      <c r="BX41" s="69"/>
      <c r="BY41" s="69"/>
      <c r="BZ41" s="69"/>
      <c r="CA41" s="69"/>
      <c r="CB41" s="69"/>
      <c r="CC41" s="69"/>
      <c r="CD41" s="69"/>
      <c r="CE41" s="69"/>
      <c r="CF41" s="8"/>
      <c r="DY41" s="1"/>
      <c r="DZ41" s="1"/>
      <c r="EA41" s="1"/>
      <c r="ED41" s="1"/>
      <c r="EE41" s="1"/>
      <c r="EF41" s="1"/>
      <c r="EG41" s="1"/>
      <c r="EH41" s="1"/>
      <c r="EI41" s="1"/>
      <c r="EJ41" s="1"/>
      <c r="EK41" s="1"/>
      <c r="EL41" s="1"/>
      <c r="EM41" s="1"/>
      <c r="EN41" s="1"/>
      <c r="EO41" s="1"/>
      <c r="EP41" s="1"/>
      <c r="EQ41" s="1"/>
      <c r="ER41" s="1"/>
      <c r="II41" s="87"/>
      <c r="IJ41" s="87"/>
      <c r="IK41" s="87"/>
      <c r="IL41" s="87"/>
      <c r="IM41" s="87"/>
    </row>
    <row r="42" spans="2:249" ht="18" customHeight="1" x14ac:dyDescent="0.25">
      <c r="B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8"/>
      <c r="AR42" s="6"/>
      <c r="AS42" s="69"/>
      <c r="AZ42" s="69"/>
      <c r="BA42" s="69"/>
      <c r="BB42" s="69"/>
      <c r="BC42" s="69"/>
      <c r="BD42" s="69"/>
      <c r="BK42" s="69"/>
      <c r="BL42" s="69"/>
      <c r="BM42" s="69"/>
      <c r="BN42" s="69"/>
      <c r="BU42" s="69"/>
      <c r="BV42" s="69"/>
      <c r="BW42" s="69"/>
      <c r="BX42" s="69"/>
      <c r="BY42" s="69"/>
      <c r="BZ42" s="69"/>
      <c r="CA42" s="69"/>
      <c r="CB42" s="69"/>
      <c r="CC42" s="69"/>
      <c r="CD42" s="69"/>
      <c r="CE42" s="69"/>
      <c r="CF42" s="8"/>
      <c r="DY42" s="1"/>
      <c r="DZ42" s="1"/>
      <c r="EA42" s="1"/>
      <c r="ED42" s="1"/>
      <c r="EE42" s="1"/>
      <c r="EF42" s="1"/>
      <c r="EG42" s="1"/>
      <c r="EH42" s="1"/>
      <c r="EI42" s="1"/>
      <c r="EJ42" s="1"/>
      <c r="EK42" s="1"/>
      <c r="EL42" s="1"/>
      <c r="EM42" s="1"/>
      <c r="EN42" s="1"/>
      <c r="EO42" s="1"/>
      <c r="EP42" s="1"/>
      <c r="EQ42" s="1"/>
      <c r="ER42" s="1"/>
      <c r="II42" s="77"/>
      <c r="IJ42" s="77"/>
      <c r="IK42" s="77"/>
      <c r="IL42" s="77"/>
      <c r="IM42" s="77"/>
    </row>
    <row r="43" spans="2:249" ht="18" customHeight="1" x14ac:dyDescent="0.25">
      <c r="B43" s="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8"/>
      <c r="AR43" s="6"/>
      <c r="AS43" s="69"/>
      <c r="AZ43" s="69"/>
      <c r="BA43" s="69"/>
      <c r="BB43" s="69"/>
      <c r="BC43" s="69"/>
      <c r="BD43" s="69"/>
      <c r="BK43" s="69"/>
      <c r="BL43" s="69"/>
      <c r="BM43" s="69"/>
      <c r="BN43" s="69"/>
      <c r="BO43" s="69"/>
      <c r="BP43" s="69"/>
      <c r="BQ43" s="69"/>
      <c r="BR43" s="69"/>
      <c r="BS43" s="69"/>
      <c r="BT43" s="69"/>
      <c r="BU43" s="69"/>
      <c r="BV43" s="69"/>
      <c r="BW43" s="69"/>
      <c r="BX43" s="69"/>
      <c r="BY43" s="69"/>
      <c r="BZ43" s="69"/>
      <c r="CA43" s="69"/>
      <c r="CB43" s="69"/>
      <c r="CC43" s="69"/>
      <c r="CD43" s="69"/>
      <c r="CE43" s="69"/>
      <c r="CF43" s="8"/>
      <c r="DY43" s="1"/>
      <c r="DZ43" s="1"/>
      <c r="EA43" s="1"/>
      <c r="ED43" s="1"/>
      <c r="EE43" s="1"/>
      <c r="EF43" s="1"/>
      <c r="EG43" s="1"/>
      <c r="EH43" s="1"/>
      <c r="EI43" s="1"/>
      <c r="EJ43" s="1"/>
      <c r="EK43" s="1"/>
      <c r="EL43" s="1"/>
      <c r="EM43" s="1"/>
      <c r="EN43" s="1"/>
      <c r="EO43" s="1"/>
      <c r="EP43" s="1"/>
      <c r="EQ43" s="1"/>
      <c r="ER43" s="1"/>
      <c r="II43" s="78"/>
      <c r="IJ43" s="78"/>
      <c r="IK43" s="78"/>
      <c r="IL43" s="78"/>
      <c r="IM43" s="78"/>
    </row>
    <row r="44" spans="2:249" ht="18" customHeight="1" x14ac:dyDescent="0.25">
      <c r="B44" s="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8"/>
      <c r="AR44" s="6"/>
      <c r="AS44" s="69"/>
      <c r="AT44" s="69"/>
      <c r="AU44" s="69"/>
      <c r="AV44" s="69"/>
      <c r="AW44" s="69"/>
      <c r="AX44" s="69"/>
      <c r="AY44" s="76" t="s">
        <v>303</v>
      </c>
      <c r="AZ44" s="76"/>
      <c r="BA44" s="76"/>
      <c r="BB44" s="76"/>
      <c r="BC44" s="76"/>
      <c r="BD44" s="76"/>
      <c r="BE44" s="69"/>
      <c r="BF44" s="69"/>
      <c r="BG44" s="69"/>
      <c r="BH44" s="69"/>
      <c r="BI44" s="69"/>
      <c r="BJ44" s="76" t="s">
        <v>302</v>
      </c>
      <c r="BK44" s="76"/>
      <c r="BL44" s="76"/>
      <c r="BM44" s="76"/>
      <c r="BN44" s="76"/>
      <c r="BO44" s="76"/>
      <c r="BP44" s="69"/>
      <c r="BQ44" s="69"/>
      <c r="BR44" s="69"/>
      <c r="BS44" s="69"/>
      <c r="BT44" s="76" t="s">
        <v>304</v>
      </c>
      <c r="BU44" s="76"/>
      <c r="BV44" s="76"/>
      <c r="BW44" s="76"/>
      <c r="BX44" s="76"/>
      <c r="BY44" s="76"/>
      <c r="BZ44" s="69"/>
      <c r="CA44" s="69"/>
      <c r="CB44" s="69"/>
      <c r="CC44" s="69"/>
      <c r="CD44" s="69"/>
      <c r="CE44" s="69"/>
      <c r="CF44" s="8"/>
      <c r="DY44" s="1"/>
      <c r="DZ44" s="1"/>
      <c r="EA44" s="1"/>
      <c r="ED44" s="1"/>
      <c r="EE44" s="1"/>
      <c r="EF44" s="1"/>
      <c r="EG44" s="1"/>
      <c r="EH44" s="1"/>
      <c r="EI44" s="1"/>
      <c r="EJ44" s="1"/>
      <c r="EK44" s="1"/>
      <c r="EL44" s="1"/>
      <c r="EM44" s="1"/>
      <c r="EN44" s="1"/>
      <c r="EO44" s="1"/>
      <c r="EP44" s="1"/>
      <c r="EQ44" s="1"/>
      <c r="ER44" s="1"/>
      <c r="II44" s="78"/>
      <c r="IJ44" s="78"/>
      <c r="IK44" s="78"/>
      <c r="IL44" s="78"/>
      <c r="IM44" s="78"/>
    </row>
    <row r="45" spans="2:249" ht="18" customHeight="1" x14ac:dyDescent="0.25">
      <c r="B45" s="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8"/>
      <c r="AR45" s="6"/>
      <c r="AS45" s="69"/>
      <c r="AT45" s="69"/>
      <c r="AU45" s="69"/>
      <c r="AV45" s="69"/>
      <c r="AW45" s="69"/>
      <c r="AX45" s="69"/>
      <c r="AY45" s="76"/>
      <c r="AZ45" s="76"/>
      <c r="BA45" s="76"/>
      <c r="BB45" s="76"/>
      <c r="BC45" s="76"/>
      <c r="BD45" s="76"/>
      <c r="BE45" s="69"/>
      <c r="BF45" s="69"/>
      <c r="BG45" s="69"/>
      <c r="BJ45" s="76"/>
      <c r="BK45" s="76"/>
      <c r="BL45" s="76"/>
      <c r="BM45" s="76"/>
      <c r="BN45" s="76"/>
      <c r="BO45" s="76"/>
      <c r="BP45" s="69"/>
      <c r="BQ45" s="69"/>
      <c r="BR45" s="69"/>
      <c r="BS45" s="69"/>
      <c r="BT45" s="76"/>
      <c r="BU45" s="76"/>
      <c r="BV45" s="76"/>
      <c r="BW45" s="76"/>
      <c r="BX45" s="76"/>
      <c r="BY45" s="76"/>
      <c r="CA45" s="69"/>
      <c r="CB45" s="69"/>
      <c r="CC45" s="69"/>
      <c r="CD45" s="69"/>
      <c r="CE45" s="69"/>
      <c r="CF45" s="8"/>
      <c r="DY45" s="1"/>
      <c r="DZ45" s="1"/>
      <c r="EA45" s="1"/>
      <c r="ED45" s="1"/>
      <c r="EE45" s="1"/>
      <c r="EF45" s="1"/>
      <c r="EG45" s="1"/>
      <c r="EH45" s="1"/>
      <c r="EI45" s="1"/>
      <c r="EJ45" s="1"/>
      <c r="EK45" s="1"/>
      <c r="EL45" s="1"/>
      <c r="EM45" s="1"/>
      <c r="EN45" s="1"/>
      <c r="EO45" s="1"/>
      <c r="EP45" s="1"/>
      <c r="EQ45" s="1"/>
      <c r="ER45" s="1"/>
      <c r="II45" s="78"/>
      <c r="IJ45" s="78"/>
      <c r="IK45" s="78"/>
      <c r="IL45" s="78"/>
      <c r="IM45" s="78"/>
    </row>
    <row r="46" spans="2:249" ht="18" customHeight="1" x14ac:dyDescent="0.25">
      <c r="B46" s="6"/>
      <c r="AP46" s="43"/>
      <c r="AR46" s="6"/>
      <c r="AS46" s="66"/>
      <c r="AT46" s="66"/>
      <c r="AU46" s="66"/>
      <c r="AV46" s="66"/>
      <c r="AW46" s="66"/>
      <c r="AX46" s="66"/>
      <c r="BE46" s="66"/>
      <c r="BF46" s="66"/>
      <c r="BG46" s="66"/>
      <c r="BN46" s="66"/>
      <c r="BO46" s="66"/>
      <c r="BP46" s="66"/>
      <c r="BQ46" s="66"/>
      <c r="BR46" s="66"/>
      <c r="BS46" s="66"/>
      <c r="BT46" s="66"/>
      <c r="CA46" s="66"/>
      <c r="CB46" s="66"/>
      <c r="CC46" s="66"/>
      <c r="CD46" s="66"/>
      <c r="CE46" s="66"/>
      <c r="CF46" s="8"/>
      <c r="DY46" s="1"/>
      <c r="DZ46" s="1"/>
      <c r="EA46" s="1"/>
      <c r="ED46" s="1"/>
      <c r="EE46" s="1"/>
      <c r="EF46" s="1"/>
      <c r="EG46" s="1"/>
      <c r="EH46" s="1"/>
      <c r="EI46" s="1"/>
      <c r="EJ46" s="1"/>
      <c r="EK46" s="1"/>
      <c r="EL46" s="1"/>
      <c r="EM46" s="1"/>
      <c r="EN46" s="1"/>
      <c r="EO46" s="1"/>
      <c r="EP46" s="1"/>
      <c r="EQ46" s="1"/>
      <c r="ER46" s="1"/>
      <c r="II46" s="78"/>
      <c r="IJ46" s="78"/>
      <c r="IK46" s="78"/>
      <c r="IL46" s="78"/>
      <c r="IM46" s="78"/>
    </row>
    <row r="47" spans="2:249" ht="18" customHeight="1" thickBot="1" x14ac:dyDescent="0.3">
      <c r="B47" s="6"/>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1"/>
      <c r="AO47" s="10"/>
      <c r="AP47" s="8"/>
      <c r="AR47" s="6"/>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1"/>
      <c r="CE47" s="10"/>
      <c r="CF47" s="8"/>
      <c r="DY47" s="1"/>
      <c r="DZ47" s="1"/>
      <c r="EA47" s="1"/>
      <c r="ED47" s="1"/>
      <c r="EE47" s="1"/>
      <c r="EF47" s="1"/>
      <c r="EG47" s="1"/>
      <c r="EH47" s="1"/>
      <c r="EI47" s="1"/>
      <c r="EJ47" s="1"/>
      <c r="EK47" s="1"/>
      <c r="EL47" s="1"/>
      <c r="EM47" s="1"/>
      <c r="EN47" s="1"/>
      <c r="EO47" s="1"/>
      <c r="EP47" s="1"/>
      <c r="EQ47" s="1"/>
      <c r="ER47" s="1"/>
      <c r="II47" s="78"/>
      <c r="IJ47" s="78"/>
      <c r="IK47" s="78"/>
      <c r="IL47" s="78"/>
      <c r="IM47" s="78"/>
    </row>
    <row r="48" spans="2:249" ht="18" customHeight="1" x14ac:dyDescent="0.25">
      <c r="B48" s="6"/>
      <c r="D48" s="44" t="s">
        <v>94</v>
      </c>
      <c r="AP48" s="8"/>
      <c r="AR48" s="6"/>
      <c r="AT48" s="44" t="s">
        <v>94</v>
      </c>
      <c r="CE48" s="29" t="s">
        <v>96</v>
      </c>
      <c r="CF48" s="8"/>
      <c r="DY48" s="1"/>
      <c r="DZ48" s="1"/>
      <c r="EA48" s="1"/>
      <c r="ED48" s="1"/>
      <c r="EE48" s="1"/>
      <c r="EF48" s="1"/>
      <c r="EG48" s="1"/>
      <c r="EH48" s="1"/>
      <c r="EI48" s="1"/>
      <c r="EJ48" s="1"/>
      <c r="EK48" s="1"/>
      <c r="EL48" s="1"/>
      <c r="EM48" s="1"/>
      <c r="EN48" s="1"/>
      <c r="EO48" s="1"/>
      <c r="EP48" s="1"/>
      <c r="EQ48" s="1"/>
      <c r="ER48" s="1"/>
      <c r="II48" s="78"/>
      <c r="IJ48" s="78"/>
      <c r="IK48" s="78"/>
      <c r="IL48" s="78"/>
      <c r="IM48" s="78"/>
    </row>
    <row r="49" spans="2:247" ht="18" customHeight="1" x14ac:dyDescent="0.25">
      <c r="B49" s="46"/>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71" t="s">
        <v>300</v>
      </c>
      <c r="AF49" s="47"/>
      <c r="AG49" s="47"/>
      <c r="AH49" s="47"/>
      <c r="AI49" s="47"/>
      <c r="AJ49" s="47"/>
      <c r="AK49" s="47"/>
      <c r="AL49" s="47"/>
      <c r="AM49" s="47"/>
      <c r="AN49" s="47"/>
      <c r="AO49" s="47"/>
      <c r="AP49" s="48"/>
      <c r="AR49" s="46"/>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8"/>
      <c r="DY49" s="1"/>
      <c r="DZ49" s="1"/>
      <c r="EA49" s="1"/>
      <c r="ED49" s="1"/>
      <c r="EE49" s="1"/>
      <c r="EF49" s="1"/>
      <c r="EG49" s="1"/>
      <c r="EH49" s="1"/>
      <c r="EI49" s="1"/>
      <c r="EJ49" s="1"/>
      <c r="EK49" s="1"/>
      <c r="EL49" s="1"/>
      <c r="EM49" s="1"/>
      <c r="EN49" s="1"/>
      <c r="EO49" s="1"/>
      <c r="EP49" s="1"/>
      <c r="EQ49" s="1"/>
      <c r="ER49" s="1"/>
      <c r="II49" s="78"/>
      <c r="IJ49" s="78"/>
      <c r="IK49" s="78"/>
      <c r="IL49" s="78"/>
      <c r="IM49" s="78"/>
    </row>
    <row r="50" spans="2:247" ht="18" customHeight="1" x14ac:dyDescent="0.25">
      <c r="DY50" s="1"/>
      <c r="DZ50" s="1"/>
      <c r="EA50" s="1"/>
      <c r="ED50" s="1"/>
      <c r="EE50" s="1"/>
      <c r="EF50" s="1"/>
      <c r="EG50" s="1"/>
      <c r="EH50" s="1"/>
      <c r="EI50" s="1"/>
      <c r="EJ50" s="1"/>
      <c r="EK50" s="1"/>
      <c r="EL50" s="1"/>
      <c r="EM50" s="1"/>
      <c r="EN50" s="1"/>
      <c r="EO50" s="1"/>
      <c r="EP50" s="1"/>
      <c r="EQ50" s="1"/>
      <c r="ER50" s="1"/>
      <c r="II50" s="78"/>
      <c r="IJ50" s="78"/>
      <c r="IK50" s="78"/>
      <c r="IL50" s="78"/>
      <c r="IM50" s="78"/>
    </row>
    <row r="51" spans="2:247" ht="18" customHeight="1" x14ac:dyDescent="0.25">
      <c r="DY51" s="1"/>
      <c r="DZ51" s="1"/>
      <c r="EA51" s="1"/>
      <c r="ED51" s="1"/>
      <c r="EE51" s="1"/>
      <c r="EF51" s="1"/>
      <c r="EG51" s="1"/>
      <c r="EH51" s="1"/>
      <c r="EI51" s="1"/>
      <c r="EJ51" s="1"/>
      <c r="EK51" s="1"/>
      <c r="EL51" s="1"/>
      <c r="EM51" s="1"/>
      <c r="EN51" s="1"/>
      <c r="EO51" s="1"/>
      <c r="EP51" s="1"/>
      <c r="EQ51" s="1"/>
      <c r="ER51" s="1"/>
      <c r="II51" s="78"/>
      <c r="IJ51" s="78"/>
      <c r="IK51" s="78"/>
      <c r="IL51" s="78"/>
      <c r="IM51" s="78"/>
    </row>
    <row r="52" spans="2:247" ht="18" customHeight="1" x14ac:dyDescent="0.25">
      <c r="DY52" s="1"/>
      <c r="DZ52" s="1"/>
      <c r="EA52" s="1"/>
      <c r="ED52" s="1"/>
      <c r="EE52" s="1"/>
      <c r="EF52" s="1"/>
      <c r="EG52" s="1"/>
      <c r="EH52" s="1"/>
      <c r="EI52" s="1"/>
      <c r="EJ52" s="1"/>
      <c r="EK52" s="1"/>
      <c r="EL52" s="1"/>
      <c r="EM52" s="1"/>
      <c r="EN52" s="1"/>
      <c r="EO52" s="1"/>
      <c r="EP52" s="1"/>
      <c r="EQ52" s="1"/>
      <c r="ER52" s="1"/>
      <c r="II52" s="78"/>
      <c r="IJ52" s="78"/>
      <c r="IK52" s="78"/>
      <c r="IL52" s="78"/>
      <c r="IM52" s="78"/>
    </row>
    <row r="53" spans="2:247" ht="18" customHeight="1" x14ac:dyDescent="0.25">
      <c r="DY53" s="1"/>
      <c r="DZ53" s="1"/>
      <c r="EA53" s="1"/>
      <c r="ED53" s="1"/>
      <c r="EE53" s="1"/>
      <c r="EF53" s="1"/>
      <c r="EG53" s="1"/>
      <c r="EH53" s="1"/>
      <c r="EI53" s="1"/>
      <c r="EJ53" s="1"/>
      <c r="EK53" s="1"/>
      <c r="EL53" s="1"/>
      <c r="EM53" s="1"/>
      <c r="EN53" s="1"/>
      <c r="EO53" s="1"/>
      <c r="EP53" s="1"/>
      <c r="EQ53" s="1"/>
      <c r="ER53" s="1"/>
      <c r="II53" s="78"/>
      <c r="IJ53" s="78"/>
      <c r="IK53" s="78"/>
      <c r="IL53" s="78"/>
      <c r="IM53" s="78"/>
    </row>
    <row r="54" spans="2:247" ht="18" customHeight="1" x14ac:dyDescent="0.25">
      <c r="DY54" s="1"/>
      <c r="DZ54" s="1"/>
      <c r="EA54" s="1"/>
      <c r="ED54" s="1"/>
      <c r="EE54" s="1"/>
      <c r="EF54" s="1"/>
      <c r="EG54" s="1"/>
      <c r="EH54" s="1"/>
      <c r="EI54" s="1"/>
      <c r="EJ54" s="1"/>
      <c r="EK54" s="1"/>
      <c r="EL54" s="1"/>
      <c r="EM54" s="1"/>
      <c r="EN54" s="1"/>
      <c r="EO54" s="1"/>
      <c r="EP54" s="1"/>
      <c r="EQ54" s="1"/>
      <c r="ER54" s="1"/>
      <c r="II54" s="78"/>
      <c r="IJ54" s="78"/>
      <c r="IK54" s="78"/>
      <c r="IL54" s="78"/>
      <c r="IM54" s="78"/>
    </row>
    <row r="55" spans="2:247" ht="18" customHeight="1" x14ac:dyDescent="0.25">
      <c r="DY55" s="1"/>
      <c r="DZ55" s="1"/>
      <c r="EA55" s="1"/>
      <c r="ED55" s="1"/>
      <c r="EE55" s="1"/>
      <c r="EF55" s="1"/>
      <c r="EG55" s="1"/>
      <c r="EH55" s="1"/>
      <c r="EI55" s="1"/>
      <c r="EJ55" s="1"/>
      <c r="EK55" s="1"/>
      <c r="EL55" s="1"/>
      <c r="EM55" s="1"/>
      <c r="EN55" s="1"/>
      <c r="EO55" s="1"/>
      <c r="EP55" s="1"/>
      <c r="EQ55" s="1"/>
      <c r="ER55" s="1"/>
      <c r="II55" s="78"/>
      <c r="IJ55" s="78"/>
      <c r="IK55" s="78"/>
      <c r="IL55" s="78"/>
      <c r="IM55" s="78"/>
    </row>
    <row r="56" spans="2:247" ht="18" customHeight="1" x14ac:dyDescent="0.25">
      <c r="DY56" s="1"/>
      <c r="DZ56" s="1"/>
      <c r="EA56" s="1"/>
      <c r="ED56" s="1"/>
      <c r="EE56" s="1"/>
      <c r="EF56" s="1"/>
      <c r="EG56" s="1"/>
      <c r="EH56" s="1"/>
      <c r="EI56" s="1"/>
      <c r="EJ56" s="1"/>
      <c r="EK56" s="1"/>
      <c r="EL56" s="1"/>
      <c r="EM56" s="1"/>
      <c r="EN56" s="1"/>
      <c r="EO56" s="1"/>
      <c r="EP56" s="1"/>
      <c r="EQ56" s="1"/>
      <c r="ER56" s="1"/>
      <c r="II56" s="78"/>
      <c r="IJ56" s="78"/>
      <c r="IK56" s="78"/>
      <c r="IL56" s="78"/>
      <c r="IM56" s="78"/>
    </row>
    <row r="57" spans="2:247" ht="18" customHeight="1" x14ac:dyDescent="0.25">
      <c r="DY57" s="1"/>
      <c r="DZ57" s="1"/>
      <c r="EA57" s="1"/>
      <c r="ED57" s="1"/>
      <c r="EE57" s="1"/>
      <c r="EF57" s="1"/>
      <c r="EG57" s="1"/>
      <c r="EH57" s="1"/>
      <c r="EI57" s="1"/>
      <c r="EJ57" s="1"/>
      <c r="EK57" s="1"/>
      <c r="EL57" s="1"/>
      <c r="EM57" s="1"/>
      <c r="EN57" s="1"/>
      <c r="EO57" s="1"/>
      <c r="EP57" s="1"/>
      <c r="EQ57" s="1"/>
      <c r="ER57" s="1"/>
      <c r="II57" s="79"/>
      <c r="IJ57" s="79"/>
      <c r="IK57" s="79"/>
      <c r="IL57" s="79"/>
      <c r="IM57" s="79"/>
    </row>
    <row r="58" spans="2:247" ht="18" customHeight="1" x14ac:dyDescent="0.25">
      <c r="DY58" s="1"/>
      <c r="DZ58" s="1"/>
      <c r="EA58" s="1"/>
      <c r="ED58" s="1"/>
      <c r="EE58" s="1"/>
      <c r="EF58" s="1"/>
      <c r="EG58" s="1"/>
      <c r="EH58" s="1"/>
      <c r="EI58" s="1"/>
      <c r="EJ58" s="1"/>
      <c r="EK58" s="1"/>
      <c r="EL58" s="1"/>
      <c r="EM58" s="1"/>
      <c r="EN58" s="1"/>
      <c r="EO58" s="1"/>
      <c r="EP58" s="1"/>
      <c r="EQ58" s="1"/>
      <c r="ER58" s="1"/>
      <c r="II58" s="77"/>
      <c r="IJ58" s="77"/>
      <c r="IK58" s="77"/>
      <c r="IL58" s="77"/>
      <c r="IM58" s="77"/>
    </row>
    <row r="59" spans="2:247" ht="18" customHeight="1" x14ac:dyDescent="0.25">
      <c r="DY59" s="1"/>
      <c r="DZ59" s="1"/>
      <c r="EA59" s="1"/>
      <c r="ED59" s="1"/>
      <c r="EE59" s="1"/>
      <c r="EF59" s="1"/>
      <c r="EG59" s="1"/>
      <c r="EH59" s="1"/>
      <c r="EI59" s="1"/>
      <c r="EJ59" s="1"/>
      <c r="EK59" s="1"/>
      <c r="EL59" s="1"/>
      <c r="EM59" s="1"/>
      <c r="EN59" s="1"/>
      <c r="EO59" s="1"/>
      <c r="EP59" s="1"/>
      <c r="EQ59" s="1"/>
      <c r="ER59" s="1"/>
    </row>
    <row r="60" spans="2:247" ht="18" customHeight="1" x14ac:dyDescent="0.25">
      <c r="DY60" s="1"/>
      <c r="DZ60" s="1"/>
      <c r="EA60" s="1"/>
      <c r="ED60" s="1"/>
      <c r="EE60" s="1"/>
      <c r="EF60" s="1"/>
      <c r="EG60" s="1"/>
      <c r="EH60" s="1"/>
      <c r="EI60" s="1"/>
      <c r="EJ60" s="1"/>
      <c r="EK60" s="1"/>
      <c r="EL60" s="1"/>
      <c r="EM60" s="1"/>
      <c r="EN60" s="1"/>
      <c r="EO60" s="1"/>
      <c r="EP60" s="1"/>
      <c r="EQ60" s="1"/>
      <c r="ER60" s="1"/>
      <c r="HL60" s="74"/>
      <c r="HM60" s="74"/>
      <c r="HN60" s="74"/>
      <c r="HO60" s="74"/>
      <c r="HP60" s="74"/>
      <c r="HQ60" s="74"/>
      <c r="HR60" s="74"/>
      <c r="HS60" s="74"/>
      <c r="HT60" s="74"/>
      <c r="HU60" s="74"/>
      <c r="HV60" s="74"/>
      <c r="HW60" s="74"/>
      <c r="HX60" s="74"/>
      <c r="HY60" s="74"/>
      <c r="HZ60" s="75"/>
      <c r="IA60" s="75"/>
      <c r="IB60" s="75"/>
      <c r="IC60" s="75"/>
    </row>
    <row r="61" spans="2:247" ht="18" customHeight="1" x14ac:dyDescent="0.25">
      <c r="DY61" s="1"/>
      <c r="DZ61" s="1"/>
      <c r="EA61" s="1"/>
      <c r="ED61" s="1"/>
      <c r="EE61" s="1"/>
      <c r="EF61" s="1"/>
      <c r="EG61" s="1"/>
      <c r="EH61" s="1"/>
      <c r="EI61" s="1"/>
      <c r="EJ61" s="1"/>
      <c r="EK61" s="1"/>
      <c r="EL61" s="1"/>
      <c r="EM61" s="1"/>
      <c r="EN61" s="1"/>
      <c r="EO61" s="1"/>
      <c r="EP61" s="1"/>
      <c r="EQ61" s="1"/>
      <c r="ER61" s="1"/>
    </row>
    <row r="62" spans="2:247" ht="18" customHeight="1" x14ac:dyDescent="0.25">
      <c r="DY62" s="1"/>
      <c r="DZ62" s="1"/>
      <c r="EA62" s="1"/>
      <c r="ED62" s="1"/>
      <c r="EE62" s="1"/>
      <c r="EF62" s="1"/>
      <c r="EG62" s="1"/>
      <c r="EH62" s="1"/>
      <c r="EI62" s="1"/>
      <c r="EJ62" s="1"/>
      <c r="EK62" s="1"/>
      <c r="EL62" s="1"/>
      <c r="EM62" s="1"/>
      <c r="EN62" s="1"/>
      <c r="EO62" s="1"/>
      <c r="EP62" s="1"/>
      <c r="EQ62" s="1"/>
      <c r="ER62" s="1"/>
    </row>
    <row r="63" spans="2:247" ht="18" customHeight="1" x14ac:dyDescent="0.25">
      <c r="DY63" s="1"/>
      <c r="DZ63" s="1"/>
      <c r="EA63" s="1"/>
      <c r="ED63" s="1"/>
      <c r="EE63" s="1"/>
      <c r="EF63" s="1"/>
      <c r="EG63" s="1"/>
      <c r="EH63" s="1"/>
      <c r="EI63" s="1"/>
      <c r="EJ63" s="1"/>
      <c r="EK63" s="1"/>
      <c r="EL63" s="1"/>
      <c r="EM63" s="1"/>
      <c r="EN63" s="1"/>
      <c r="EO63" s="1"/>
      <c r="EP63" s="1"/>
      <c r="EQ63" s="1"/>
      <c r="ER63" s="1"/>
    </row>
    <row r="64" spans="2:247" ht="18" customHeight="1" x14ac:dyDescent="0.25">
      <c r="DY64" s="1"/>
      <c r="DZ64" s="1"/>
      <c r="EA64" s="1"/>
      <c r="ED64" s="1"/>
      <c r="EE64" s="1"/>
      <c r="EF64" s="1"/>
      <c r="EG64" s="1"/>
      <c r="EH64" s="1"/>
      <c r="EI64" s="1"/>
      <c r="EJ64" s="1"/>
      <c r="EK64" s="1"/>
      <c r="EL64" s="1"/>
      <c r="EM64" s="1"/>
      <c r="EN64" s="1"/>
      <c r="EO64" s="1"/>
      <c r="EP64" s="1"/>
      <c r="EQ64" s="1"/>
      <c r="ER64" s="1"/>
    </row>
    <row r="65" s="1" customFormat="1" ht="18" customHeight="1" x14ac:dyDescent="0.25"/>
    <row r="66" s="1" customFormat="1" ht="18" customHeight="1" x14ac:dyDescent="0.25"/>
    <row r="67" s="1" customFormat="1" ht="18" customHeight="1" x14ac:dyDescent="0.25"/>
    <row r="68" s="1" customFormat="1" ht="18" customHeight="1" x14ac:dyDescent="0.25"/>
    <row r="69" s="1" customFormat="1" ht="18" customHeight="1" x14ac:dyDescent="0.25"/>
    <row r="70" s="1" customFormat="1" ht="18" customHeight="1" x14ac:dyDescent="0.25"/>
    <row r="71" s="1" customFormat="1" ht="18" customHeight="1" x14ac:dyDescent="0.25"/>
    <row r="72" s="1" customFormat="1" ht="18" customHeight="1" x14ac:dyDescent="0.25"/>
    <row r="73" s="1" customFormat="1" ht="18" customHeight="1" x14ac:dyDescent="0.25"/>
    <row r="74" s="1" customFormat="1" ht="18" customHeight="1" x14ac:dyDescent="0.25"/>
    <row r="75" s="1" customFormat="1" ht="18" customHeight="1" x14ac:dyDescent="0.25"/>
    <row r="76" s="1" customFormat="1" ht="18" customHeight="1" x14ac:dyDescent="0.25"/>
    <row r="77" s="1" customFormat="1" ht="18" customHeight="1" x14ac:dyDescent="0.25"/>
    <row r="78" s="1" customFormat="1" ht="18" customHeight="1" x14ac:dyDescent="0.25"/>
    <row r="79" s="1" customFormat="1" ht="18" customHeight="1" x14ac:dyDescent="0.25"/>
    <row r="80" s="1" customFormat="1" ht="18" customHeight="1" x14ac:dyDescent="0.25"/>
    <row r="81" s="1" customFormat="1" ht="18" customHeight="1" x14ac:dyDescent="0.25"/>
    <row r="82" s="1" customFormat="1" ht="18" customHeight="1" x14ac:dyDescent="0.25"/>
    <row r="83" s="1" customFormat="1" ht="18" customHeight="1" x14ac:dyDescent="0.25"/>
    <row r="84" s="1" customFormat="1" ht="18" customHeight="1" x14ac:dyDescent="0.25"/>
    <row r="85" s="1" customFormat="1" ht="18" customHeight="1" x14ac:dyDescent="0.25"/>
    <row r="86" s="1" customFormat="1" ht="18" customHeight="1" x14ac:dyDescent="0.25"/>
    <row r="87" s="1" customFormat="1" ht="18" customHeight="1" x14ac:dyDescent="0.25"/>
    <row r="88" s="1" customFormat="1" ht="18" customHeight="1" x14ac:dyDescent="0.25"/>
    <row r="89" s="1" customFormat="1" ht="18" customHeight="1" x14ac:dyDescent="0.25"/>
    <row r="90" s="1" customFormat="1" ht="18" customHeight="1" x14ac:dyDescent="0.25"/>
    <row r="91" s="1" customFormat="1" ht="18" customHeight="1" x14ac:dyDescent="0.25"/>
    <row r="92" s="1" customFormat="1" ht="18" customHeight="1" x14ac:dyDescent="0.25"/>
    <row r="93" s="1" customFormat="1" ht="18" customHeight="1" x14ac:dyDescent="0.25"/>
    <row r="94" s="1" customFormat="1" ht="18" customHeight="1" x14ac:dyDescent="0.25"/>
    <row r="95" s="1" customFormat="1" ht="18" customHeight="1" x14ac:dyDescent="0.25"/>
    <row r="96" s="1" customFormat="1" ht="18" customHeight="1" x14ac:dyDescent="0.25"/>
    <row r="97" s="1" customFormat="1" ht="18" customHeight="1" x14ac:dyDescent="0.25"/>
    <row r="98" s="1" customFormat="1" ht="18" customHeight="1" x14ac:dyDescent="0.25"/>
    <row r="99" s="1" customFormat="1" ht="18" customHeight="1" x14ac:dyDescent="0.25"/>
    <row r="100" s="1" customFormat="1" ht="18" customHeight="1" x14ac:dyDescent="0.25"/>
    <row r="101" s="1" customFormat="1" ht="18" customHeight="1" x14ac:dyDescent="0.25"/>
    <row r="102" s="1" customFormat="1" ht="18" customHeight="1" x14ac:dyDescent="0.25"/>
    <row r="103" s="1" customFormat="1" ht="18" customHeight="1" x14ac:dyDescent="0.25"/>
    <row r="104" s="1" customFormat="1" ht="18" customHeight="1" x14ac:dyDescent="0.25"/>
    <row r="105" s="1" customFormat="1" ht="18" customHeight="1" x14ac:dyDescent="0.25"/>
    <row r="106" s="1" customFormat="1" ht="18" customHeight="1" x14ac:dyDescent="0.25"/>
    <row r="107" s="1" customFormat="1" ht="18" customHeight="1" x14ac:dyDescent="0.25"/>
    <row r="108" s="1" customFormat="1" ht="18" customHeight="1" x14ac:dyDescent="0.25"/>
    <row r="109" s="1" customFormat="1" ht="18" customHeight="1" x14ac:dyDescent="0.25"/>
    <row r="110" s="1" customFormat="1" ht="18" customHeight="1" x14ac:dyDescent="0.25"/>
    <row r="111" s="1" customFormat="1" ht="18" customHeight="1" x14ac:dyDescent="0.25"/>
    <row r="112" s="1" customFormat="1" ht="18" customHeight="1" x14ac:dyDescent="0.25"/>
    <row r="113" s="1" customFormat="1" ht="18" customHeight="1" x14ac:dyDescent="0.25"/>
    <row r="114" s="1" customFormat="1" ht="18" customHeight="1" x14ac:dyDescent="0.25"/>
    <row r="115" s="1" customFormat="1" ht="18" customHeight="1" x14ac:dyDescent="0.25"/>
    <row r="116" s="1" customFormat="1" ht="18" customHeight="1" x14ac:dyDescent="0.25"/>
    <row r="117" s="1" customFormat="1" ht="18" customHeight="1" x14ac:dyDescent="0.25"/>
    <row r="118" s="1" customFormat="1" ht="18" customHeight="1" x14ac:dyDescent="0.25"/>
    <row r="119" s="1" customFormat="1" ht="18" customHeight="1" x14ac:dyDescent="0.25"/>
    <row r="120" s="1" customFormat="1" ht="18" customHeight="1" x14ac:dyDescent="0.25"/>
    <row r="121" s="1" customFormat="1" ht="18" customHeight="1" x14ac:dyDescent="0.25"/>
    <row r="122" s="1" customFormat="1" ht="18" customHeight="1" x14ac:dyDescent="0.25"/>
    <row r="123" s="1" customFormat="1" ht="18" customHeight="1" x14ac:dyDescent="0.25"/>
    <row r="124" s="1" customFormat="1" ht="18" customHeight="1" x14ac:dyDescent="0.25"/>
    <row r="125" s="1" customFormat="1" ht="18" customHeight="1" x14ac:dyDescent="0.25"/>
    <row r="126" s="1" customFormat="1" ht="18" customHeight="1" x14ac:dyDescent="0.25"/>
    <row r="127" s="1" customFormat="1" ht="18" customHeight="1" x14ac:dyDescent="0.25"/>
    <row r="128" s="1" customFormat="1" ht="18" customHeight="1" x14ac:dyDescent="0.25"/>
    <row r="129" s="1" customFormat="1" ht="18" customHeight="1" x14ac:dyDescent="0.25"/>
    <row r="130" s="1" customFormat="1" ht="18" customHeight="1" x14ac:dyDescent="0.25"/>
    <row r="131" s="1" customFormat="1" ht="18" customHeight="1" x14ac:dyDescent="0.25"/>
    <row r="132" s="1" customFormat="1" ht="18" customHeight="1" x14ac:dyDescent="0.25"/>
    <row r="133" s="1" customFormat="1" ht="18" customHeight="1" x14ac:dyDescent="0.25"/>
    <row r="134" s="1" customFormat="1" ht="18" customHeight="1" x14ac:dyDescent="0.25"/>
    <row r="135" s="1" customFormat="1" ht="18" customHeight="1" x14ac:dyDescent="0.25"/>
    <row r="136" s="1" customFormat="1" ht="18" customHeight="1" x14ac:dyDescent="0.25"/>
    <row r="137" s="1" customFormat="1" ht="18" customHeight="1" x14ac:dyDescent="0.25"/>
    <row r="138" s="1" customFormat="1" ht="18" customHeight="1" x14ac:dyDescent="0.25"/>
    <row r="139" s="1" customFormat="1" ht="18" customHeight="1" x14ac:dyDescent="0.25"/>
    <row r="140" s="1" customFormat="1" ht="18" customHeight="1" x14ac:dyDescent="0.25"/>
    <row r="141" s="1" customFormat="1" ht="18" customHeight="1" x14ac:dyDescent="0.25"/>
    <row r="142" s="1" customFormat="1" ht="18" customHeight="1" x14ac:dyDescent="0.25"/>
    <row r="143" s="1" customFormat="1" ht="18" customHeight="1" x14ac:dyDescent="0.25"/>
    <row r="144" s="1" customFormat="1" ht="18" customHeight="1" x14ac:dyDescent="0.25"/>
    <row r="145" s="1" customFormat="1" ht="18" customHeight="1" x14ac:dyDescent="0.25"/>
    <row r="146" s="1" customFormat="1" ht="18" customHeight="1" x14ac:dyDescent="0.25"/>
    <row r="147" s="1" customFormat="1" ht="18" customHeight="1" x14ac:dyDescent="0.25"/>
    <row r="148" s="1" customFormat="1" ht="18" customHeight="1" x14ac:dyDescent="0.25"/>
    <row r="149" s="1" customFormat="1" ht="18" customHeight="1" x14ac:dyDescent="0.25"/>
    <row r="150" s="1" customFormat="1" ht="18" customHeight="1" x14ac:dyDescent="0.25"/>
    <row r="151" s="1" customFormat="1" ht="18" customHeight="1" x14ac:dyDescent="0.25"/>
    <row r="152" s="1" customFormat="1" ht="18" customHeight="1" x14ac:dyDescent="0.25"/>
    <row r="153" s="1" customFormat="1" ht="18" customHeight="1" x14ac:dyDescent="0.25"/>
    <row r="154" s="1" customFormat="1" ht="18" customHeight="1" x14ac:dyDescent="0.25"/>
    <row r="155" s="1" customFormat="1" ht="18" customHeight="1" x14ac:dyDescent="0.25"/>
    <row r="156" s="1" customFormat="1" ht="18" customHeight="1" x14ac:dyDescent="0.25"/>
    <row r="157" s="1" customFormat="1" ht="18" customHeight="1" x14ac:dyDescent="0.25"/>
    <row r="158" s="1" customFormat="1" ht="18" customHeight="1" x14ac:dyDescent="0.25"/>
    <row r="159" s="1" customFormat="1" ht="18" customHeight="1" x14ac:dyDescent="0.25"/>
    <row r="160" s="1" customFormat="1" ht="18" customHeight="1" x14ac:dyDescent="0.25"/>
    <row r="161" s="1" customFormat="1" ht="18" customHeight="1" x14ac:dyDescent="0.25"/>
    <row r="162" s="1" customFormat="1" ht="18" customHeight="1" x14ac:dyDescent="0.25"/>
    <row r="163" s="1" customFormat="1" ht="18" customHeight="1" x14ac:dyDescent="0.25"/>
    <row r="164" s="1" customFormat="1" ht="18" customHeight="1" x14ac:dyDescent="0.25"/>
    <row r="165" s="1" customFormat="1" ht="18" customHeight="1" x14ac:dyDescent="0.25"/>
    <row r="166" s="1" customFormat="1" ht="18" customHeight="1" x14ac:dyDescent="0.25"/>
    <row r="167" s="1" customFormat="1" ht="18" customHeight="1" x14ac:dyDescent="0.25"/>
    <row r="168" s="1" customFormat="1" ht="18" customHeight="1" x14ac:dyDescent="0.25"/>
    <row r="169" s="1" customFormat="1" ht="18" customHeight="1" x14ac:dyDescent="0.25"/>
    <row r="170" s="1" customFormat="1" ht="18" customHeight="1" x14ac:dyDescent="0.25"/>
    <row r="171" s="1" customFormat="1" ht="18" customHeight="1" x14ac:dyDescent="0.25"/>
    <row r="172" s="1" customFormat="1" ht="18" customHeight="1" x14ac:dyDescent="0.25"/>
    <row r="173" s="1" customFormat="1" ht="18" customHeight="1" x14ac:dyDescent="0.25"/>
    <row r="174" s="1" customFormat="1" ht="18" customHeight="1" x14ac:dyDescent="0.25"/>
    <row r="175" s="1" customFormat="1" ht="18" customHeight="1" x14ac:dyDescent="0.25"/>
    <row r="176" s="1" customFormat="1" ht="18" customHeight="1" x14ac:dyDescent="0.25"/>
    <row r="177" s="1" customFormat="1" ht="18" customHeight="1" x14ac:dyDescent="0.25"/>
    <row r="178" s="1" customFormat="1" ht="18" customHeight="1" x14ac:dyDescent="0.25"/>
    <row r="179" s="1" customFormat="1" ht="18" customHeight="1" x14ac:dyDescent="0.25"/>
    <row r="180" s="1" customFormat="1" ht="18" customHeight="1" x14ac:dyDescent="0.25"/>
    <row r="181" s="1" customFormat="1" ht="18" customHeight="1" x14ac:dyDescent="0.25"/>
    <row r="182" s="1" customFormat="1" ht="18" customHeight="1" x14ac:dyDescent="0.25"/>
    <row r="183" s="1" customFormat="1" ht="18" customHeight="1" x14ac:dyDescent="0.25"/>
    <row r="184" s="1" customFormat="1" ht="18" customHeight="1" x14ac:dyDescent="0.25"/>
    <row r="185" s="1" customFormat="1" ht="18" customHeight="1" x14ac:dyDescent="0.25"/>
    <row r="186" s="1" customFormat="1" ht="18" customHeight="1" x14ac:dyDescent="0.25"/>
    <row r="187" s="1" customFormat="1" ht="18" customHeight="1" x14ac:dyDescent="0.25"/>
    <row r="188" s="1" customFormat="1" ht="18" customHeight="1" x14ac:dyDescent="0.25"/>
    <row r="189" s="1" customFormat="1" ht="18" customHeight="1" x14ac:dyDescent="0.25"/>
    <row r="190" s="1" customFormat="1" ht="18" customHeight="1" x14ac:dyDescent="0.25"/>
    <row r="191" s="1" customFormat="1" ht="18" customHeight="1" x14ac:dyDescent="0.25"/>
    <row r="192" s="1" customFormat="1" ht="18" customHeight="1" x14ac:dyDescent="0.25"/>
    <row r="193" s="1" customFormat="1" ht="18" customHeight="1" x14ac:dyDescent="0.25"/>
    <row r="194" s="1" customFormat="1" ht="18" customHeight="1" x14ac:dyDescent="0.25"/>
    <row r="195" s="1" customFormat="1" ht="18" customHeight="1" x14ac:dyDescent="0.25"/>
    <row r="196" s="1" customFormat="1" ht="18" customHeight="1" x14ac:dyDescent="0.25"/>
    <row r="197" s="1" customFormat="1" ht="18" customHeight="1" x14ac:dyDescent="0.25"/>
    <row r="198" s="1" customFormat="1" ht="18" customHeigh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ExRnf4oNMvS4g+WX73SNbywZjZS/pWLbLCrUQTx47jKZxZIsZ/V62fTNeCzl6CXulf2h7GuXHCB8RCvzz+DJ/g==" saltValue="wNJtBd57F1zNVKpPQ1IZIA==" spinCount="100000" sheet="1" objects="1" scenarios="1"/>
  <mergeCells count="30">
    <mergeCell ref="II46:IM46"/>
    <mergeCell ref="C8:AO9"/>
    <mergeCell ref="HC35:IO35"/>
    <mergeCell ref="HS36:HU36"/>
    <mergeCell ref="HO37:HQ37"/>
    <mergeCell ref="IJ37:IL37"/>
    <mergeCell ref="HO38:HQ38"/>
    <mergeCell ref="IJ38:IL38"/>
    <mergeCell ref="II40:IM41"/>
    <mergeCell ref="II42:IM42"/>
    <mergeCell ref="II43:IM43"/>
    <mergeCell ref="II44:IM44"/>
    <mergeCell ref="II45:IM45"/>
    <mergeCell ref="II58:IM58"/>
    <mergeCell ref="II47:IM47"/>
    <mergeCell ref="II48:IM48"/>
    <mergeCell ref="II49:IM49"/>
    <mergeCell ref="II50:IM50"/>
    <mergeCell ref="II51:IM51"/>
    <mergeCell ref="II52:IM52"/>
    <mergeCell ref="II53:IM53"/>
    <mergeCell ref="II54:IM54"/>
    <mergeCell ref="II55:IM55"/>
    <mergeCell ref="II56:IM56"/>
    <mergeCell ref="II57:IM57"/>
    <mergeCell ref="HL60:HY60"/>
    <mergeCell ref="HZ60:IC60"/>
    <mergeCell ref="AY44:BD45"/>
    <mergeCell ref="BJ44:BO45"/>
    <mergeCell ref="BT44:BY45"/>
  </mergeCells>
  <dataValidations disablePrompts="1" count="1">
    <dataValidation allowBlank="1" showErrorMessage="1" sqref="S17:U17" xr:uid="{5068BB15-B6D5-42DB-9B14-30DB3F4CB642}"/>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F15AC-C346-4CCE-BA29-59974F7BC405}">
  <sheetPr codeName="Sheet1">
    <pageSetUpPr fitToPage="1"/>
  </sheetPr>
  <dimension ref="B1:IS305"/>
  <sheetViews>
    <sheetView topLeftCell="A8" zoomScaleNormal="100" workbookViewId="0">
      <selection activeCell="J30" sqref="J30:U30"/>
    </sheetView>
  </sheetViews>
  <sheetFormatPr defaultRowHeight="15" x14ac:dyDescent="0.25"/>
  <cols>
    <col min="1" max="84" width="2.7109375" style="1" customWidth="1"/>
    <col min="85" max="124" width="2.7109375" style="1" hidden="1" customWidth="1"/>
    <col min="125" max="127" width="9.140625" style="1" hidden="1" customWidth="1"/>
    <col min="128" max="128" width="24.7109375" style="1" hidden="1" customWidth="1"/>
    <col min="129" max="129" width="27.7109375" style="2" hidden="1" customWidth="1"/>
    <col min="130" max="130" width="38.7109375" style="2" hidden="1" customWidth="1"/>
    <col min="131" max="131" width="30.28515625" style="2" hidden="1" customWidth="1"/>
    <col min="132" max="132" width="18" style="1" hidden="1" customWidth="1"/>
    <col min="133" max="133" width="38.140625" style="1" hidden="1" customWidth="1"/>
    <col min="134" max="134" width="42.7109375" style="1" hidden="1" customWidth="1"/>
    <col min="135" max="135" width="44.140625" style="1" hidden="1" customWidth="1"/>
    <col min="136" max="136" width="39" style="1" hidden="1" customWidth="1"/>
    <col min="137" max="137" width="41.85546875" style="1" hidden="1" customWidth="1"/>
    <col min="138" max="138" width="27.7109375" style="1" hidden="1" customWidth="1"/>
    <col min="139" max="139" width="17.5703125" style="1" hidden="1" customWidth="1"/>
    <col min="140" max="142" width="16.7109375" style="1" hidden="1" customWidth="1"/>
    <col min="143" max="143" width="15.7109375" style="1" hidden="1" customWidth="1"/>
    <col min="144" max="144" width="16.7109375" style="1" hidden="1" customWidth="1"/>
    <col min="145" max="145" width="15.7109375" style="1" hidden="1" customWidth="1"/>
    <col min="146" max="146" width="16.7109375" style="1" hidden="1" customWidth="1"/>
    <col min="147" max="147" width="9.140625" style="1" hidden="1" customWidth="1"/>
    <col min="148" max="148" width="9.5703125" style="1" hidden="1" customWidth="1"/>
    <col min="149" max="189" width="9.140625" style="1" hidden="1" customWidth="1"/>
    <col min="190" max="249" width="2.7109375" style="1" hidden="1" customWidth="1"/>
    <col min="250" max="253" width="9.140625" style="1" hidden="1" customWidth="1"/>
    <col min="254" max="341" width="9.140625" style="1" customWidth="1"/>
    <col min="342" max="372" width="2.7109375" style="1" customWidth="1"/>
    <col min="373" max="16384" width="9.140625" style="1"/>
  </cols>
  <sheetData>
    <row r="1" spans="2:209" ht="18" customHeight="1" x14ac:dyDescent="0.25">
      <c r="DW1" s="170" t="s">
        <v>321</v>
      </c>
      <c r="DX1" s="170"/>
      <c r="DY1" s="170"/>
      <c r="DZ1" s="170"/>
      <c r="EA1" s="170"/>
      <c r="EB1" s="170"/>
      <c r="EC1" s="170"/>
      <c r="ED1" s="170"/>
      <c r="EE1" s="170"/>
      <c r="EF1" s="170"/>
      <c r="EG1" s="170"/>
      <c r="FN1" s="1" t="s">
        <v>0</v>
      </c>
    </row>
    <row r="2" spans="2:209" ht="18" customHeight="1" x14ac:dyDescent="0.25">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5"/>
      <c r="AR2" s="3"/>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5"/>
    </row>
    <row r="3" spans="2:209" ht="18" customHeight="1" x14ac:dyDescent="0.25">
      <c r="B3" s="6"/>
      <c r="AO3" s="7" t="s">
        <v>341</v>
      </c>
      <c r="AP3" s="8"/>
      <c r="AR3" s="6"/>
      <c r="CD3" s="7"/>
      <c r="CF3" s="8"/>
      <c r="DX3" s="1" t="s">
        <v>1</v>
      </c>
      <c r="EC3" s="2" t="s">
        <v>3</v>
      </c>
      <c r="ED3" s="1" t="s">
        <v>315</v>
      </c>
      <c r="EE3" s="2" t="s">
        <v>314</v>
      </c>
      <c r="EF3" s="1" t="s">
        <v>316</v>
      </c>
      <c r="EG3" s="73" t="s">
        <v>317</v>
      </c>
      <c r="FR3" s="1" t="s">
        <v>318</v>
      </c>
    </row>
    <row r="4" spans="2:209" ht="18" customHeight="1" x14ac:dyDescent="0.25">
      <c r="B4" s="6"/>
      <c r="AO4" s="9" t="s">
        <v>4</v>
      </c>
      <c r="AP4" s="8"/>
      <c r="AR4" s="6"/>
      <c r="CD4" s="9"/>
      <c r="CF4" s="8"/>
      <c r="DW4" s="2" t="s">
        <v>5</v>
      </c>
      <c r="DX4" s="2" t="s">
        <v>309</v>
      </c>
      <c r="DY4" s="2" t="s">
        <v>310</v>
      </c>
      <c r="DZ4" s="2" t="s">
        <v>311</v>
      </c>
      <c r="EA4" s="2" t="s">
        <v>312</v>
      </c>
      <c r="EC4" s="2" t="s">
        <v>313</v>
      </c>
      <c r="ED4" s="2" t="s">
        <v>11</v>
      </c>
      <c r="FR4" s="1" t="s">
        <v>319</v>
      </c>
    </row>
    <row r="5" spans="2:209" ht="18" customHeight="1" thickBot="1" x14ac:dyDescent="0.3">
      <c r="B5" s="6"/>
      <c r="AO5" s="9" t="s">
        <v>12</v>
      </c>
      <c r="AP5" s="8"/>
      <c r="AR5" s="6"/>
      <c r="AS5" s="10" t="str">
        <f>H12 &amp; " | " &amp; AE13</f>
        <v>Enter Customer PO #  | Stage 1</v>
      </c>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1"/>
      <c r="CE5" s="10"/>
      <c r="CF5" s="8"/>
      <c r="DW5" s="1">
        <v>1</v>
      </c>
      <c r="DX5" s="12" t="str">
        <f>COMPLEX(ROUND(0.0001,6),ROUND(-$AJ$30/DW5,6))</f>
        <v>0.0001-26.996684i</v>
      </c>
      <c r="DY5" s="13" t="str">
        <f t="shared" ref="DY5:DY41" si="0">COMPLEX(0.000000001,-1*$CL$25/DW5)</f>
        <v>0.000000001</v>
      </c>
      <c r="DZ5" s="13" t="str">
        <f>COMPLEX(IF(ABS($AJ$34/$S$34)&lt;0.0000005,0,ROUND($AJ$34/$S$34,6)),IF(ABS($AJ$34*DW5)&lt;0.0000005,0,ROUND($AJ$34*DW5,6)))</f>
        <v>0.010799+1.079867i</v>
      </c>
      <c r="EA5" s="14" t="str">
        <f>COMPLEX(ROUND($IJ$37,6),ROUND(0.0001,6))</f>
        <v>5399336805.55556+0.0001i</v>
      </c>
      <c r="EC5" s="1" t="str">
        <f t="shared" ref="EC5:EC41" si="1">IMSUM(DZ5,DY5)</f>
        <v>0.010799001+1.079867i</v>
      </c>
      <c r="ED5" s="1" t="str">
        <f>COMPLEX(ROUND(IMREAL(IMPRODUCT(EC5,EA5)),6),ROUND(IMAGINARY(IMPRODUCT(EC5,EA5)),6))</f>
        <v>58307443.562423+5830565638.20487i</v>
      </c>
      <c r="EE5" s="1" t="str">
        <f>COMPLEX(ROUND(IMREAL(IMSUM(EA5,EC5)),6),ROUND(IMAGINARY(IMSUM(EA5,EC5)),6))</f>
        <v>5399336805.56636+1.079967i</v>
      </c>
      <c r="EF5" s="1" t="str">
        <f>COMPLEX(ROUND(IMREAL(IMDIV(ED5,EE5)),6),ROUND(IMAGINARY(IMDIV(ED5,EE5)),6))</f>
        <v>0.010799+1.079867i</v>
      </c>
      <c r="EG5" s="1" t="str">
        <f>COMPLEX(ROUND(IMREAL(IMSUM(EF5,DX5)),6),ROUND(IMAGINARY(IMSUM(EF5,DX5)),6))</f>
        <v>0.010899-25.916817i</v>
      </c>
      <c r="EI5" s="15">
        <f t="shared" ref="EI5:EI20" si="2">D114</f>
        <v>1</v>
      </c>
      <c r="EJ5" s="15">
        <f t="shared" ref="EJ5:EJ20" si="3">H114</f>
        <v>417.1862180215175</v>
      </c>
      <c r="EK5" s="1">
        <f t="shared" ref="EK5:EK20" si="4">EJ5*EJ5</f>
        <v>174044.34050709713</v>
      </c>
      <c r="FN5" s="1">
        <f t="shared" ref="FN5:FN41" si="5">DW5</f>
        <v>1</v>
      </c>
      <c r="FO5" s="1">
        <f t="shared" ref="FO5:FO41" si="6">IMABS(EG5)</f>
        <v>25.91681929172039</v>
      </c>
      <c r="FR5" s="1" t="s">
        <v>320</v>
      </c>
    </row>
    <row r="6" spans="2:209" ht="18" customHeight="1" thickBot="1" x14ac:dyDescent="0.3">
      <c r="B6" s="6"/>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G6" s="10"/>
      <c r="AH6" s="10"/>
      <c r="AI6" s="10"/>
      <c r="AJ6" s="10"/>
      <c r="AK6" s="10"/>
      <c r="AL6" s="10"/>
      <c r="AM6" s="10"/>
      <c r="AN6" s="10"/>
      <c r="AO6" s="11" t="s">
        <v>13</v>
      </c>
      <c r="AP6" s="8"/>
      <c r="AR6" s="6"/>
      <c r="CD6" s="9"/>
      <c r="CF6" s="8"/>
      <c r="DW6" s="1">
        <f>ROUND(DW5+0.2,1)</f>
        <v>1.2</v>
      </c>
      <c r="DX6" s="12" t="str">
        <f>COMPLEX(ROUND(0.0001,6),ROUND(-$AJ$30/DW6,6))</f>
        <v>0.0001-22.497237i</v>
      </c>
      <c r="DY6" s="13" t="str">
        <f t="shared" si="0"/>
        <v>0.000000001</v>
      </c>
      <c r="DZ6" s="13" t="str">
        <f t="shared" ref="DZ6:DZ69" si="7">COMPLEX(IF(ABS($AJ$34/$S$34)&lt;0.0000005,0,ROUND($AJ$34/$S$34,6)),IF(ABS($AJ$34*DW6)&lt;0.0000005,0,ROUND($AJ$34*DW6,6)))</f>
        <v>0.010799+1.295841i</v>
      </c>
      <c r="EA6" s="14" t="str">
        <f t="shared" ref="EA6:EA69" si="8">COMPLEX(ROUND($IJ$37,6),ROUND(0.0001,6))</f>
        <v>5399336805.55556+0.0001i</v>
      </c>
      <c r="EC6" s="1" t="str">
        <f t="shared" si="1"/>
        <v>0.010799001+1.295841i</v>
      </c>
      <c r="ED6" s="1" t="str">
        <f t="shared" ref="ED6:ED69" si="9">COMPLEX(ROUND(IMREAL(IMPRODUCT(EC6,EA6)),6),ROUND(IMAGINARY(IMPRODUCT(EC6,EA6)),6))</f>
        <v>58307443.562402+6996682005.44792i</v>
      </c>
      <c r="EE6" s="1" t="str">
        <f t="shared" ref="EE6:EE69" si="10">COMPLEX(ROUND(IMREAL(IMSUM(EA6,EC6)),6),ROUND(IMAGINARY(IMSUM(EA6,EC6)),6))</f>
        <v>5399336805.56636+1.295941i</v>
      </c>
      <c r="EF6" s="1" t="str">
        <f>COMPLEX(ROUND(IMREAL(IMDIV(ED6,EE6)),6),ROUND(IMAGINARY(IMDIV(ED6,EE6)),6))</f>
        <v>0.010799+1.295841i</v>
      </c>
      <c r="EG6" s="1" t="str">
        <f>COMPLEX(ROUND(IMREAL(IMSUM(EF6,DX6)),6),ROUND(IMAGINARY(IMSUM(EF6,DX6)),6))</f>
        <v>0.010899-21.201396i</v>
      </c>
      <c r="EI6" s="15">
        <f t="shared" si="2"/>
        <v>2</v>
      </c>
      <c r="EJ6" s="15">
        <f t="shared" si="3"/>
        <v>0</v>
      </c>
      <c r="EK6" s="1">
        <f t="shared" si="4"/>
        <v>0</v>
      </c>
      <c r="FN6" s="1">
        <f t="shared" si="5"/>
        <v>1.2</v>
      </c>
      <c r="FO6" s="1">
        <f t="shared" si="6"/>
        <v>21.20139880142386</v>
      </c>
    </row>
    <row r="7" spans="2:209" ht="18" customHeight="1" x14ac:dyDescent="0.25">
      <c r="B7" s="6"/>
      <c r="C7" s="188" t="s">
        <v>14</v>
      </c>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8"/>
      <c r="AR7" s="6"/>
      <c r="AS7" s="16" t="s">
        <v>15</v>
      </c>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8"/>
      <c r="DW7" s="1">
        <f t="shared" ref="DW7:DW41" si="11">ROUND(DW6+0.2,1)</f>
        <v>1.4</v>
      </c>
      <c r="DX7" s="12" t="str">
        <f t="shared" ref="DX7:DX70" si="12">COMPLEX(ROUND(0.0001,6),ROUND(-$AJ$30/DW7,6))</f>
        <v>0.0001-19.283346i</v>
      </c>
      <c r="DY7" s="13" t="str">
        <f t="shared" si="0"/>
        <v>0.000000001</v>
      </c>
      <c r="DZ7" s="13" t="str">
        <f t="shared" si="7"/>
        <v>0.010799+1.511814i</v>
      </c>
      <c r="EA7" s="14" t="str">
        <f t="shared" si="8"/>
        <v>5399336805.55556+0.0001i</v>
      </c>
      <c r="EC7" s="1" t="str">
        <f t="shared" si="1"/>
        <v>0.010799001+1.511814i</v>
      </c>
      <c r="ED7" s="1" t="str">
        <f t="shared" si="9"/>
        <v>58307443.56238+8162792973.35417i</v>
      </c>
      <c r="EE7" s="1" t="str">
        <f t="shared" si="10"/>
        <v>5399336805.56636+1.511914i</v>
      </c>
      <c r="EF7" s="1" t="str">
        <f t="shared" ref="EF7:EF70" si="13">COMPLEX(ROUND(IMREAL(IMDIV(ED7,EE7)),6),ROUND(IMAGINARY(IMDIV(ED7,EE7)),6))</f>
        <v>0.010799+1.511814i</v>
      </c>
      <c r="EG7" s="1" t="str">
        <f t="shared" ref="EG7:EG70" si="14">COMPLEX(ROUND(IMREAL(IMSUM(EF7,DX7)),6),ROUND(IMAGINARY(IMSUM(EF7,DX7)),6))</f>
        <v>0.010899-17.771532i</v>
      </c>
      <c r="EI7" s="15">
        <f t="shared" si="2"/>
        <v>3</v>
      </c>
      <c r="EJ7" s="15">
        <f t="shared" si="3"/>
        <v>0</v>
      </c>
      <c r="EK7" s="1">
        <f t="shared" si="4"/>
        <v>0</v>
      </c>
      <c r="FN7" s="1">
        <f t="shared" si="5"/>
        <v>1.4</v>
      </c>
      <c r="FO7" s="1">
        <f t="shared" si="6"/>
        <v>17.771535342091997</v>
      </c>
      <c r="FR7" s="18" t="s">
        <v>16</v>
      </c>
      <c r="FU7" s="1">
        <v>300</v>
      </c>
    </row>
    <row r="8" spans="2:209" ht="18" customHeight="1" x14ac:dyDescent="0.35">
      <c r="B8" s="6"/>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8"/>
      <c r="AR8" s="6"/>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8"/>
      <c r="CY8" s="19"/>
      <c r="DW8" s="1">
        <f t="shared" si="11"/>
        <v>1.6</v>
      </c>
      <c r="DX8" s="12" t="str">
        <f t="shared" si="12"/>
        <v>0.0001-16.872928i</v>
      </c>
      <c r="DY8" s="13" t="str">
        <f t="shared" si="0"/>
        <v>0.000000001</v>
      </c>
      <c r="DZ8" s="13" t="str">
        <f t="shared" si="7"/>
        <v>0.010799+1.727788i</v>
      </c>
      <c r="EA8" s="14" t="str">
        <f t="shared" si="8"/>
        <v>5399336805.55556+0.0001i</v>
      </c>
      <c r="EC8" s="1" t="str">
        <f t="shared" si="1"/>
        <v>0.010799001+1.727788i</v>
      </c>
      <c r="ED8" s="1" t="str">
        <f t="shared" si="9"/>
        <v>58307443.562359+9328909340.59723i</v>
      </c>
      <c r="EE8" s="1" t="str">
        <f t="shared" si="10"/>
        <v>5399336805.56636+1.727888i</v>
      </c>
      <c r="EF8" s="1" t="str">
        <f t="shared" si="13"/>
        <v>0.010799+1.727788i</v>
      </c>
      <c r="EG8" s="1" t="str">
        <f t="shared" si="14"/>
        <v>0.010899-15.14514i</v>
      </c>
      <c r="EI8" s="15">
        <f t="shared" si="2"/>
        <v>4</v>
      </c>
      <c r="EJ8" s="15">
        <f t="shared" si="3"/>
        <v>0</v>
      </c>
      <c r="EK8" s="1">
        <f t="shared" si="4"/>
        <v>0</v>
      </c>
      <c r="FN8" s="1">
        <f t="shared" si="5"/>
        <v>1.6</v>
      </c>
      <c r="FO8" s="1">
        <f t="shared" si="6"/>
        <v>15.145143921660203</v>
      </c>
    </row>
    <row r="9" spans="2:209" ht="18" customHeight="1" x14ac:dyDescent="0.25">
      <c r="B9" s="20"/>
      <c r="C9" s="16" t="s">
        <v>17</v>
      </c>
      <c r="D9" s="21"/>
      <c r="E9" s="22"/>
      <c r="F9" s="22"/>
      <c r="G9" s="22"/>
      <c r="H9" s="22"/>
      <c r="I9" s="23"/>
      <c r="J9" s="24"/>
      <c r="K9" s="24"/>
      <c r="L9" s="24"/>
      <c r="M9" s="24"/>
      <c r="N9" s="24"/>
      <c r="O9" s="24"/>
      <c r="P9" s="24"/>
      <c r="Q9" s="24"/>
      <c r="R9" s="24"/>
      <c r="S9" s="24"/>
      <c r="T9" s="24"/>
      <c r="U9" s="24"/>
      <c r="V9" s="24"/>
      <c r="W9" s="24"/>
      <c r="X9" s="24"/>
      <c r="Y9" s="24"/>
      <c r="Z9" s="24"/>
      <c r="AA9" s="24"/>
      <c r="AB9" s="24"/>
      <c r="AC9" s="24" t="s">
        <v>11</v>
      </c>
      <c r="AD9" s="24"/>
      <c r="AE9" s="24"/>
      <c r="AG9" s="25"/>
      <c r="AH9" s="25"/>
      <c r="AI9" s="25"/>
      <c r="AJ9" s="25"/>
      <c r="AK9" s="25"/>
      <c r="AL9" s="25"/>
      <c r="AM9" s="25"/>
      <c r="AN9" s="26" t="str">
        <f ca="1">"" &amp; TEXT(TODAY(), "mmmm d, yyyy")</f>
        <v>April 19, 2026</v>
      </c>
      <c r="AO9" s="25"/>
      <c r="AP9" s="8"/>
      <c r="AR9" s="6"/>
      <c r="AS9" s="81" t="s">
        <v>18</v>
      </c>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27"/>
      <c r="DW9" s="1">
        <f t="shared" si="11"/>
        <v>1.8</v>
      </c>
      <c r="DX9" s="12" t="str">
        <f t="shared" si="12"/>
        <v>0.0001-14.998158i</v>
      </c>
      <c r="DY9" s="13" t="str">
        <f t="shared" si="0"/>
        <v>0.000000001</v>
      </c>
      <c r="DZ9" s="13" t="str">
        <f t="shared" si="7"/>
        <v>0.010799+1.943761i</v>
      </c>
      <c r="EA9" s="14" t="str">
        <f t="shared" si="8"/>
        <v>5399336805.55556+0.0001i</v>
      </c>
      <c r="EC9" s="1" t="str">
        <f t="shared" si="1"/>
        <v>0.010799001+1.943761i</v>
      </c>
      <c r="ED9" s="1" t="str">
        <f t="shared" si="9"/>
        <v>58307443.562337+10495020308.5035i</v>
      </c>
      <c r="EE9" s="1" t="str">
        <f t="shared" si="10"/>
        <v>5399336805.56636+1.943861i</v>
      </c>
      <c r="EF9" s="1" t="str">
        <f t="shared" si="13"/>
        <v>0.010799+1.943761i</v>
      </c>
      <c r="EG9" s="1" t="str">
        <f t="shared" si="14"/>
        <v>0.010899-13.054397i</v>
      </c>
      <c r="EI9" s="15">
        <f t="shared" si="2"/>
        <v>5</v>
      </c>
      <c r="EJ9" s="15">
        <f t="shared" si="3"/>
        <v>150</v>
      </c>
      <c r="EK9" s="1">
        <f t="shared" si="4"/>
        <v>22500</v>
      </c>
      <c r="FN9" s="1">
        <f t="shared" si="5"/>
        <v>1.8</v>
      </c>
      <c r="FO9" s="1">
        <f t="shared" si="6"/>
        <v>13.054401549738309</v>
      </c>
    </row>
    <row r="10" spans="2:209" ht="18" customHeight="1" x14ac:dyDescent="0.25">
      <c r="B10" s="6"/>
      <c r="AP10" s="8"/>
      <c r="AR10" s="6"/>
      <c r="BF10" s="115" t="s">
        <v>19</v>
      </c>
      <c r="BG10" s="115"/>
      <c r="BH10" s="115"/>
      <c r="BI10" s="115"/>
      <c r="BJ10" s="115"/>
      <c r="BK10" s="115"/>
      <c r="BL10" s="115"/>
      <c r="BM10" s="115"/>
      <c r="BN10" s="115"/>
      <c r="BO10" s="115"/>
      <c r="BP10" s="115"/>
      <c r="BQ10" s="115"/>
      <c r="BR10" s="115"/>
      <c r="BS10" s="115"/>
      <c r="BT10" s="115"/>
      <c r="CE10" s="24"/>
      <c r="CF10" s="8"/>
      <c r="DW10" s="1">
        <f t="shared" si="11"/>
        <v>2</v>
      </c>
      <c r="DX10" s="12" t="str">
        <f t="shared" si="12"/>
        <v>0.0001-13.498342i</v>
      </c>
      <c r="DY10" s="13" t="str">
        <f t="shared" si="0"/>
        <v>0.000000001</v>
      </c>
      <c r="DZ10" s="13" t="str">
        <f t="shared" si="7"/>
        <v>0.010799+2.159735i</v>
      </c>
      <c r="EA10" s="14" t="str">
        <f t="shared" si="8"/>
        <v>5399336805.55556+0.0001i</v>
      </c>
      <c r="EC10" s="1" t="str">
        <f t="shared" si="1"/>
        <v>0.010799001+2.159735i</v>
      </c>
      <c r="ED10" s="1" t="str">
        <f t="shared" si="9"/>
        <v>58307443.562315+11661136675.7465i</v>
      </c>
      <c r="EE10" s="1" t="str">
        <f t="shared" si="10"/>
        <v>5399336805.56636+2.159835i</v>
      </c>
      <c r="EF10" s="1" t="str">
        <f t="shared" si="13"/>
        <v>0.010799+2.159735i</v>
      </c>
      <c r="EG10" s="1" t="str">
        <f t="shared" si="14"/>
        <v>0.010899-11.338607i</v>
      </c>
      <c r="EI10" s="15">
        <f t="shared" si="2"/>
        <v>7</v>
      </c>
      <c r="EJ10" s="15">
        <f t="shared" si="3"/>
        <v>119.99999999999997</v>
      </c>
      <c r="EK10" s="1">
        <f t="shared" si="4"/>
        <v>14399.999999999993</v>
      </c>
      <c r="FN10" s="1">
        <f t="shared" si="5"/>
        <v>2</v>
      </c>
      <c r="FO10" s="1">
        <f t="shared" si="6"/>
        <v>11.33861223821725</v>
      </c>
    </row>
    <row r="11" spans="2:209" ht="18" customHeight="1" x14ac:dyDescent="0.25">
      <c r="B11" s="28"/>
      <c r="C11" s="24"/>
      <c r="D11" s="24"/>
      <c r="E11" s="24"/>
      <c r="F11" s="24"/>
      <c r="G11" s="9" t="s">
        <v>20</v>
      </c>
      <c r="H11" s="104" t="s">
        <v>21</v>
      </c>
      <c r="I11" s="104"/>
      <c r="J11" s="104"/>
      <c r="K11" s="104"/>
      <c r="L11" s="104"/>
      <c r="M11" s="104"/>
      <c r="N11" s="104"/>
      <c r="O11" s="104"/>
      <c r="P11" s="104"/>
      <c r="Q11" s="104"/>
      <c r="R11" s="104"/>
      <c r="S11" s="104"/>
      <c r="T11" s="104"/>
      <c r="U11" s="104"/>
      <c r="V11" s="104"/>
      <c r="W11" s="104"/>
      <c r="X11" s="24"/>
      <c r="Y11" s="24"/>
      <c r="Z11" s="24"/>
      <c r="AA11" s="24"/>
      <c r="AC11" s="9" t="s">
        <v>22</v>
      </c>
      <c r="AD11" s="24"/>
      <c r="AE11" s="189" t="s">
        <v>23</v>
      </c>
      <c r="AF11" s="189"/>
      <c r="AG11" s="189"/>
      <c r="AH11" s="189"/>
      <c r="AI11" s="189"/>
      <c r="AJ11" s="189"/>
      <c r="AK11" s="189"/>
      <c r="AL11" s="189"/>
      <c r="AM11" s="189"/>
      <c r="AN11" s="189"/>
      <c r="AO11" s="24"/>
      <c r="AP11" s="8"/>
      <c r="AR11" s="6"/>
      <c r="BF11" s="190" t="s">
        <v>24</v>
      </c>
      <c r="BG11" s="191"/>
      <c r="BH11" s="191"/>
      <c r="BI11" s="191"/>
      <c r="BJ11" s="191"/>
      <c r="BK11" s="191"/>
      <c r="BL11" s="191"/>
      <c r="BN11" s="190" t="s">
        <v>25</v>
      </c>
      <c r="BO11" s="190"/>
      <c r="BP11" s="190"/>
      <c r="BQ11" s="190"/>
      <c r="BR11" s="190"/>
      <c r="BS11" s="190"/>
      <c r="BT11" s="190"/>
      <c r="CE11" s="24"/>
      <c r="CF11" s="8"/>
      <c r="DW11" s="1">
        <f t="shared" si="11"/>
        <v>2.2000000000000002</v>
      </c>
      <c r="DX11" s="12" t="str">
        <f t="shared" si="12"/>
        <v>0.0001-12.27122i</v>
      </c>
      <c r="DY11" s="13" t="str">
        <f t="shared" si="0"/>
        <v>0.000000001</v>
      </c>
      <c r="DZ11" s="13" t="str">
        <f t="shared" si="7"/>
        <v>0.010799+2.375708i</v>
      </c>
      <c r="EA11" s="14" t="str">
        <f t="shared" si="8"/>
        <v>5399336805.55556+0.0001i</v>
      </c>
      <c r="EC11" s="1" t="str">
        <f t="shared" si="1"/>
        <v>0.010799001+2.375708i</v>
      </c>
      <c r="ED11" s="1" t="str">
        <f t="shared" si="9"/>
        <v>58307443.562294+12827247643.6528i</v>
      </c>
      <c r="EE11" s="1" t="str">
        <f t="shared" si="10"/>
        <v>5399336805.56636+2.375808i</v>
      </c>
      <c r="EF11" s="1" t="str">
        <f t="shared" si="13"/>
        <v>0.010799+2.375708i</v>
      </c>
      <c r="EG11" s="1" t="str">
        <f t="shared" si="14"/>
        <v>0.010899-9.895512i</v>
      </c>
      <c r="EI11" s="15">
        <f t="shared" si="2"/>
        <v>11</v>
      </c>
      <c r="EJ11" s="15">
        <f t="shared" si="3"/>
        <v>90.000000000000014</v>
      </c>
      <c r="EK11" s="1">
        <f t="shared" si="4"/>
        <v>8100.0000000000027</v>
      </c>
      <c r="FN11" s="1">
        <f t="shared" si="5"/>
        <v>2.2000000000000002</v>
      </c>
      <c r="FO11" s="1">
        <f t="shared" si="6"/>
        <v>9.8955180021232341</v>
      </c>
    </row>
    <row r="12" spans="2:209" ht="18" customHeight="1" x14ac:dyDescent="0.25">
      <c r="B12" s="28"/>
      <c r="C12" s="24"/>
      <c r="D12" s="24"/>
      <c r="E12" s="24"/>
      <c r="F12" s="24"/>
      <c r="G12" s="9" t="s">
        <v>26</v>
      </c>
      <c r="H12" s="104" t="s">
        <v>27</v>
      </c>
      <c r="I12" s="104"/>
      <c r="J12" s="104"/>
      <c r="K12" s="104"/>
      <c r="L12" s="104"/>
      <c r="M12" s="104"/>
      <c r="N12" s="104"/>
      <c r="O12" s="104"/>
      <c r="P12" s="104"/>
      <c r="Q12" s="104"/>
      <c r="R12" s="104"/>
      <c r="S12" s="104"/>
      <c r="T12" s="104"/>
      <c r="U12" s="104"/>
      <c r="V12" s="104"/>
      <c r="W12" s="104"/>
      <c r="X12" s="24"/>
      <c r="Y12" s="24"/>
      <c r="Z12" s="24"/>
      <c r="AA12" s="24"/>
      <c r="AB12" s="24"/>
      <c r="AC12" s="9" t="s">
        <v>28</v>
      </c>
      <c r="AD12" s="24"/>
      <c r="AE12" s="182" t="s">
        <v>308</v>
      </c>
      <c r="AF12" s="183"/>
      <c r="AG12" s="183"/>
      <c r="AH12" s="183"/>
      <c r="AI12" s="183"/>
      <c r="AJ12" s="183"/>
      <c r="AK12" s="183"/>
      <c r="AL12" s="183"/>
      <c r="AM12" s="183"/>
      <c r="AN12" s="184"/>
      <c r="AO12" s="24"/>
      <c r="AP12" s="8"/>
      <c r="AR12" s="6"/>
      <c r="AT12" s="115" t="s">
        <v>30</v>
      </c>
      <c r="AU12" s="115"/>
      <c r="AV12" s="115"/>
      <c r="AW12" s="115"/>
      <c r="AX12" s="115"/>
      <c r="AY12" s="115"/>
      <c r="AZ12" s="115"/>
      <c r="BA12" s="115"/>
      <c r="BB12" s="115"/>
      <c r="BC12" s="115"/>
      <c r="BD12" s="115"/>
      <c r="BF12" s="115"/>
      <c r="BG12" s="115"/>
      <c r="BH12" s="115"/>
      <c r="BI12" s="115"/>
      <c r="BJ12" s="115"/>
      <c r="BK12" s="115"/>
      <c r="BL12" s="115"/>
      <c r="BN12" s="192"/>
      <c r="BO12" s="192"/>
      <c r="BP12" s="192"/>
      <c r="BQ12" s="192"/>
      <c r="BR12" s="192"/>
      <c r="BS12" s="192"/>
      <c r="BT12" s="192"/>
      <c r="BV12" s="115" t="s">
        <v>31</v>
      </c>
      <c r="BW12" s="115"/>
      <c r="BX12" s="115"/>
      <c r="BY12" s="115"/>
      <c r="BZ12" s="115"/>
      <c r="CE12" s="24"/>
      <c r="CF12" s="8"/>
      <c r="DW12" s="1">
        <f t="shared" si="11"/>
        <v>2.4</v>
      </c>
      <c r="DX12" s="12" t="str">
        <f t="shared" si="12"/>
        <v>0.0001-11.248618i</v>
      </c>
      <c r="DY12" s="13" t="str">
        <f t="shared" si="0"/>
        <v>0.000000001</v>
      </c>
      <c r="DZ12" s="13" t="str">
        <f t="shared" si="7"/>
        <v>0.010799+2.591682i</v>
      </c>
      <c r="EA12" s="14" t="str">
        <f t="shared" si="8"/>
        <v>5399336805.55556+0.0001i</v>
      </c>
      <c r="EC12" s="1" t="str">
        <f t="shared" si="1"/>
        <v>0.010799001+2.591682i</v>
      </c>
      <c r="ED12" s="1" t="str">
        <f t="shared" si="9"/>
        <v>58307443.562272+13993364010.8958i</v>
      </c>
      <c r="EE12" s="1" t="str">
        <f t="shared" si="10"/>
        <v>5399336805.56636+2.591782i</v>
      </c>
      <c r="EF12" s="1" t="str">
        <f t="shared" si="13"/>
        <v>0.010799+2.591682i</v>
      </c>
      <c r="EG12" s="1" t="str">
        <f t="shared" si="14"/>
        <v>0.010899-8.656936i</v>
      </c>
      <c r="EI12" s="15">
        <f t="shared" si="2"/>
        <v>13</v>
      </c>
      <c r="EJ12" s="15">
        <f t="shared" si="3"/>
        <v>45.000000000000007</v>
      </c>
      <c r="EK12" s="1">
        <f t="shared" si="4"/>
        <v>2025.0000000000007</v>
      </c>
      <c r="FN12" s="1">
        <f t="shared" si="5"/>
        <v>2.4</v>
      </c>
      <c r="FO12" s="1">
        <f t="shared" si="6"/>
        <v>8.6569428608658949</v>
      </c>
    </row>
    <row r="13" spans="2:209" ht="18" customHeight="1" x14ac:dyDescent="0.25">
      <c r="B13" s="28"/>
      <c r="C13" s="24"/>
      <c r="D13" s="24"/>
      <c r="E13" s="24"/>
      <c r="F13" s="24"/>
      <c r="G13" s="9" t="s">
        <v>32</v>
      </c>
      <c r="H13" s="104" t="s">
        <v>33</v>
      </c>
      <c r="I13" s="104"/>
      <c r="J13" s="104"/>
      <c r="K13" s="104"/>
      <c r="L13" s="104"/>
      <c r="M13" s="104"/>
      <c r="N13" s="104"/>
      <c r="O13" s="104"/>
      <c r="P13" s="104"/>
      <c r="Q13" s="104"/>
      <c r="R13" s="104"/>
      <c r="S13" s="104"/>
      <c r="T13" s="104"/>
      <c r="U13" s="104"/>
      <c r="V13" s="104"/>
      <c r="W13" s="104"/>
      <c r="X13" s="24"/>
      <c r="Y13" s="24"/>
      <c r="Z13" s="24"/>
      <c r="AA13" s="24"/>
      <c r="AB13" s="24"/>
      <c r="AC13" s="9" t="s">
        <v>34</v>
      </c>
      <c r="AD13" s="24"/>
      <c r="AE13" s="182" t="s">
        <v>35</v>
      </c>
      <c r="AF13" s="183"/>
      <c r="AG13" s="183"/>
      <c r="AH13" s="183"/>
      <c r="AI13" s="183"/>
      <c r="AJ13" s="183"/>
      <c r="AK13" s="183"/>
      <c r="AL13" s="183"/>
      <c r="AM13" s="183"/>
      <c r="AN13" s="184"/>
      <c r="AO13" s="24"/>
      <c r="AP13" s="8"/>
      <c r="AR13" s="6"/>
      <c r="BD13" s="29" t="s">
        <v>36</v>
      </c>
      <c r="BF13" s="185">
        <f>BJ21/(S28)</f>
        <v>0.75662535459332592</v>
      </c>
      <c r="BG13" s="185"/>
      <c r="BH13" s="185"/>
      <c r="BI13" s="185"/>
      <c r="BJ13" s="185"/>
      <c r="BK13" s="185"/>
      <c r="BL13" s="185"/>
      <c r="BN13" s="186">
        <f>SQRT(SUM(EA261*1.1*1.1,EB261:EH261)+SUM(EI261:EP261))/1000/(ER260)</f>
        <v>0.83176045217635697</v>
      </c>
      <c r="BO13" s="186"/>
      <c r="BP13" s="186"/>
      <c r="BQ13" s="186"/>
      <c r="BR13" s="186"/>
      <c r="BS13" s="186"/>
      <c r="BT13" s="186"/>
      <c r="BV13" s="187">
        <f>IF(LEFT(J30,2)="SD",1.1,1.25)</f>
        <v>1.25</v>
      </c>
      <c r="BW13" s="187"/>
      <c r="BX13" s="187"/>
      <c r="BY13" s="187"/>
      <c r="BZ13" s="187"/>
      <c r="CE13" s="24"/>
      <c r="CF13" s="8"/>
      <c r="DW13" s="1">
        <f t="shared" si="11"/>
        <v>2.6</v>
      </c>
      <c r="DX13" s="12" t="str">
        <f t="shared" si="12"/>
        <v>0.0001-10.38334i</v>
      </c>
      <c r="DY13" s="13" t="str">
        <f t="shared" si="0"/>
        <v>0.000000001</v>
      </c>
      <c r="DZ13" s="13" t="str">
        <f t="shared" si="7"/>
        <v>0.010799+2.807655i</v>
      </c>
      <c r="EA13" s="14" t="str">
        <f t="shared" si="8"/>
        <v>5399336805.55556+0.0001i</v>
      </c>
      <c r="EC13" s="1" t="str">
        <f t="shared" si="1"/>
        <v>0.010799001+2.807655i</v>
      </c>
      <c r="ED13" s="1" t="str">
        <f t="shared" si="9"/>
        <v>58307443.562251+15159474978.8021i</v>
      </c>
      <c r="EE13" s="1" t="str">
        <f t="shared" si="10"/>
        <v>5399336805.56636+2.807755i</v>
      </c>
      <c r="EF13" s="1" t="str">
        <f t="shared" si="13"/>
        <v>0.010799+2.807655i</v>
      </c>
      <c r="EG13" s="1" t="str">
        <f t="shared" si="14"/>
        <v>0.010899-7.575685i</v>
      </c>
      <c r="EI13" s="15">
        <f t="shared" si="2"/>
        <v>17</v>
      </c>
      <c r="EJ13" s="15">
        <f t="shared" si="3"/>
        <v>30</v>
      </c>
      <c r="EK13" s="1">
        <f t="shared" si="4"/>
        <v>900</v>
      </c>
      <c r="FN13" s="1">
        <f t="shared" si="5"/>
        <v>2.6</v>
      </c>
      <c r="FO13" s="1">
        <f t="shared" si="6"/>
        <v>7.5756928400923176</v>
      </c>
    </row>
    <row r="14" spans="2:209" ht="18" customHeight="1" x14ac:dyDescent="0.25">
      <c r="B14" s="28"/>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8"/>
      <c r="AR14" s="6"/>
      <c r="BD14" s="29" t="s">
        <v>37</v>
      </c>
      <c r="BF14" s="173">
        <f>BJ22/(ER262)</f>
        <v>0.86847060767782236</v>
      </c>
      <c r="BG14" s="173"/>
      <c r="BH14" s="173"/>
      <c r="BI14" s="173"/>
      <c r="BJ14" s="173"/>
      <c r="BK14" s="173"/>
      <c r="BL14" s="173"/>
      <c r="BN14" s="178">
        <f>BF14+0.1</f>
        <v>0.96847060767782234</v>
      </c>
      <c r="BO14" s="178"/>
      <c r="BP14" s="178"/>
      <c r="BQ14" s="178"/>
      <c r="BR14" s="178"/>
      <c r="BS14" s="178"/>
      <c r="BT14" s="178"/>
      <c r="BV14" s="174">
        <f>IF(LEFT(J30,2)="SD",1.2,1.35)</f>
        <v>1.35</v>
      </c>
      <c r="BW14" s="174"/>
      <c r="BX14" s="174"/>
      <c r="BY14" s="174"/>
      <c r="BZ14" s="174"/>
      <c r="CF14" s="8"/>
      <c r="DW14" s="1">
        <f t="shared" si="11"/>
        <v>2.8</v>
      </c>
      <c r="DX14" s="12" t="str">
        <f t="shared" si="12"/>
        <v>0.0001-9.641673i</v>
      </c>
      <c r="DY14" s="13" t="str">
        <f t="shared" si="0"/>
        <v>0.000000001</v>
      </c>
      <c r="DZ14" s="13" t="str">
        <f t="shared" si="7"/>
        <v>0.010799+3.023629i</v>
      </c>
      <c r="EA14" s="14" t="str">
        <f t="shared" si="8"/>
        <v>5399336805.55556+0.0001i</v>
      </c>
      <c r="EC14" s="1" t="str">
        <f t="shared" si="1"/>
        <v>0.010799001+3.023629i</v>
      </c>
      <c r="ED14" s="1" t="str">
        <f t="shared" si="9"/>
        <v>58307443.562229+16325591346.0452i</v>
      </c>
      <c r="EE14" s="1" t="str">
        <f t="shared" si="10"/>
        <v>5399336805.56636+3.023729i</v>
      </c>
      <c r="EF14" s="1" t="str">
        <f t="shared" si="13"/>
        <v>0.010799+3.023629i</v>
      </c>
      <c r="EG14" s="1" t="str">
        <f t="shared" si="14"/>
        <v>0.010899-6.618044i</v>
      </c>
      <c r="EI14" s="15">
        <f t="shared" si="2"/>
        <v>19</v>
      </c>
      <c r="EJ14" s="15">
        <f t="shared" si="3"/>
        <v>15</v>
      </c>
      <c r="EK14" s="1">
        <f t="shared" si="4"/>
        <v>225</v>
      </c>
      <c r="FN14" s="1">
        <f t="shared" si="5"/>
        <v>2.8</v>
      </c>
      <c r="FO14" s="1">
        <f t="shared" si="6"/>
        <v>6.6180529745641206</v>
      </c>
    </row>
    <row r="15" spans="2:209" ht="18" customHeight="1" x14ac:dyDescent="0.3">
      <c r="B15" s="6"/>
      <c r="C15" s="30" t="s">
        <v>38</v>
      </c>
      <c r="D15" s="31"/>
      <c r="E15" s="31"/>
      <c r="F15" s="31"/>
      <c r="G15" s="31"/>
      <c r="H15" s="31"/>
      <c r="I15" s="31"/>
      <c r="J15" s="31"/>
      <c r="K15" s="31"/>
      <c r="AP15" s="8"/>
      <c r="AR15" s="6"/>
      <c r="BD15" s="29" t="str">
        <f>"% "&amp;$S$20&amp;"HZ AMPS:"</f>
        <v>% 60HZ AMPS:</v>
      </c>
      <c r="BF15" s="179">
        <f>BJ23/ER263</f>
        <v>0.85350113432629582</v>
      </c>
      <c r="BG15" s="179"/>
      <c r="BH15" s="179"/>
      <c r="BI15" s="179"/>
      <c r="BJ15" s="179"/>
      <c r="BK15" s="179"/>
      <c r="BL15" s="179"/>
      <c r="BN15" s="180">
        <f>(SQRT(SUM(EA262*1.1*1.1,EB262:EH262,EI262:EP262))/S29)/ER263</f>
        <v>0.92076474133592623</v>
      </c>
      <c r="BO15" s="180"/>
      <c r="BP15" s="180"/>
      <c r="BQ15" s="180"/>
      <c r="BR15" s="180"/>
      <c r="BS15" s="180"/>
      <c r="BT15" s="180"/>
      <c r="BV15" s="181">
        <v>1.35</v>
      </c>
      <c r="BW15" s="181"/>
      <c r="BX15" s="181"/>
      <c r="BY15" s="181"/>
      <c r="BZ15" s="181"/>
      <c r="CF15" s="8"/>
      <c r="DW15" s="1">
        <f t="shared" si="11"/>
        <v>3</v>
      </c>
      <c r="DX15" s="12" t="str">
        <f t="shared" si="12"/>
        <v>0.0001-8.998895i</v>
      </c>
      <c r="DY15" s="13" t="str">
        <f t="shared" si="0"/>
        <v>0.000000001</v>
      </c>
      <c r="DZ15" s="13" t="str">
        <f t="shared" si="7"/>
        <v>0.010799+3.239602i</v>
      </c>
      <c r="EA15" s="14" t="str">
        <f t="shared" si="8"/>
        <v>5399336805.55556+0.0001i</v>
      </c>
      <c r="EC15" s="1" t="str">
        <f t="shared" si="1"/>
        <v>0.010799001+3.239602i</v>
      </c>
      <c r="ED15" s="1" t="str">
        <f t="shared" si="9"/>
        <v>58307443.562207+17491702313.9514i</v>
      </c>
      <c r="EE15" s="1" t="str">
        <f t="shared" si="10"/>
        <v>5399336805.56636+3.239702i</v>
      </c>
      <c r="EF15" s="1" t="str">
        <f t="shared" si="13"/>
        <v>0.010799+3.239602i</v>
      </c>
      <c r="EG15" s="1" t="str">
        <f t="shared" si="14"/>
        <v>0.010899-5.759293i</v>
      </c>
      <c r="EI15" s="15">
        <f t="shared" si="2"/>
        <v>23</v>
      </c>
      <c r="EJ15" s="15">
        <f t="shared" si="3"/>
        <v>15</v>
      </c>
      <c r="EK15" s="1">
        <f t="shared" si="4"/>
        <v>225</v>
      </c>
      <c r="FN15" s="1">
        <f t="shared" si="5"/>
        <v>3</v>
      </c>
      <c r="FO15" s="1">
        <f t="shared" si="6"/>
        <v>5.7593033127323654</v>
      </c>
    </row>
    <row r="16" spans="2:209" ht="18" customHeight="1" x14ac:dyDescent="0.25">
      <c r="B16" s="6"/>
      <c r="D16" s="164" t="s">
        <v>39</v>
      </c>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8"/>
      <c r="AR16" s="6"/>
      <c r="BD16" s="29" t="str">
        <f>"% "&amp;$S$20&amp;"HZ KVAR:"</f>
        <v>% 60HZ KVAR:</v>
      </c>
      <c r="BF16" s="172">
        <f>(SUM(EA263:EH263)+SUM(EI263:EP263))/ER264</f>
        <v>0.59294012908389793</v>
      </c>
      <c r="BG16" s="172"/>
      <c r="BH16" s="172"/>
      <c r="BI16" s="172"/>
      <c r="BJ16" s="172"/>
      <c r="BK16" s="172"/>
      <c r="BL16" s="172"/>
      <c r="BN16" s="173">
        <f>(SUM(EA263*1.1*1.1,EB263:EH263)+SUM(EI263:EP263))/ER264</f>
        <v>0.71228365167503949</v>
      </c>
      <c r="BO16" s="173"/>
      <c r="BP16" s="173"/>
      <c r="BQ16" s="173"/>
      <c r="BR16" s="173"/>
      <c r="BS16" s="173"/>
      <c r="BT16" s="173"/>
      <c r="BV16" s="174">
        <v>1.35</v>
      </c>
      <c r="BW16" s="174"/>
      <c r="BX16" s="174"/>
      <c r="BY16" s="174"/>
      <c r="BZ16" s="174"/>
      <c r="CF16" s="8"/>
      <c r="DW16" s="1">
        <f t="shared" si="11"/>
        <v>3.2</v>
      </c>
      <c r="DX16" s="12" t="str">
        <f t="shared" si="12"/>
        <v>0.0001-8.436464i</v>
      </c>
      <c r="DY16" s="13" t="str">
        <f t="shared" si="0"/>
        <v>0.000000001</v>
      </c>
      <c r="DZ16" s="13" t="str">
        <f t="shared" si="7"/>
        <v>0.010799+3.455576i</v>
      </c>
      <c r="EA16" s="14" t="str">
        <f t="shared" si="8"/>
        <v>5399336805.55556+0.0001i</v>
      </c>
      <c r="EC16" s="1" t="str">
        <f t="shared" si="1"/>
        <v>0.010799001+3.455576i</v>
      </c>
      <c r="ED16" s="1" t="str">
        <f t="shared" si="9"/>
        <v>58307443.562186+18657818681.1945i</v>
      </c>
      <c r="EE16" s="1" t="str">
        <f t="shared" si="10"/>
        <v>5399336805.56636+3.455676i</v>
      </c>
      <c r="EF16" s="1" t="str">
        <f t="shared" si="13"/>
        <v>0.010799+3.455576i</v>
      </c>
      <c r="EG16" s="1" t="str">
        <f t="shared" si="14"/>
        <v>0.010899-4.980888i</v>
      </c>
      <c r="EI16" s="15">
        <f t="shared" si="2"/>
        <v>25</v>
      </c>
      <c r="EJ16" s="15">
        <f t="shared" si="3"/>
        <v>15</v>
      </c>
      <c r="EK16" s="1">
        <f t="shared" si="4"/>
        <v>225</v>
      </c>
      <c r="FN16" s="1">
        <f t="shared" si="5"/>
        <v>3.2</v>
      </c>
      <c r="FO16" s="1">
        <f t="shared" si="6"/>
        <v>4.9808999243856524</v>
      </c>
      <c r="GI16" s="89" t="s">
        <v>40</v>
      </c>
      <c r="GJ16" s="89"/>
      <c r="GK16" s="89"/>
      <c r="GL16" s="89"/>
      <c r="GM16" s="89"/>
      <c r="GN16" s="89"/>
      <c r="GO16" s="89"/>
      <c r="GP16" s="89"/>
      <c r="GQ16" s="89"/>
      <c r="GR16" s="89"/>
      <c r="GS16" s="89"/>
      <c r="GT16" s="89"/>
      <c r="GU16" s="89"/>
      <c r="GV16" s="89"/>
      <c r="GW16" s="89"/>
      <c r="GX16" s="168"/>
      <c r="GY16" s="175">
        <v>1000000000</v>
      </c>
      <c r="GZ16" s="176"/>
      <c r="HA16" s="177"/>
    </row>
    <row r="17" spans="2:199" ht="18" customHeight="1" x14ac:dyDescent="0.25">
      <c r="B17" s="28"/>
      <c r="C17" s="24"/>
      <c r="D17" s="24"/>
      <c r="E17" s="24"/>
      <c r="F17" s="24"/>
      <c r="G17" s="24"/>
      <c r="H17" s="24"/>
      <c r="I17" s="24"/>
      <c r="J17" s="24"/>
      <c r="K17" s="24"/>
      <c r="L17" s="24"/>
      <c r="M17" s="24"/>
      <c r="N17" s="24"/>
      <c r="O17" s="24"/>
      <c r="P17" s="24"/>
      <c r="Q17" s="24"/>
      <c r="R17" s="32" t="s">
        <v>41</v>
      </c>
      <c r="S17" s="108">
        <v>12.47</v>
      </c>
      <c r="T17" s="108"/>
      <c r="U17" s="108"/>
      <c r="V17" s="33" t="s">
        <v>42</v>
      </c>
      <c r="W17" s="24"/>
      <c r="X17" s="24"/>
      <c r="Y17" s="24"/>
      <c r="Z17" s="24"/>
      <c r="AA17" s="24"/>
      <c r="AB17" s="24"/>
      <c r="AC17" s="24"/>
      <c r="AD17" s="24"/>
      <c r="AE17" s="24"/>
      <c r="AF17" s="24"/>
      <c r="AG17" s="24"/>
      <c r="AH17" s="24"/>
      <c r="AI17" s="24"/>
      <c r="AJ17" s="32" t="s">
        <v>43</v>
      </c>
      <c r="AK17" s="78">
        <f>S17*S17/(S18*0.001)</f>
        <v>25.916816666666673</v>
      </c>
      <c r="AL17" s="78"/>
      <c r="AM17" s="78"/>
      <c r="AN17" s="24" t="s">
        <v>44</v>
      </c>
      <c r="AO17" s="24"/>
      <c r="AP17" s="8"/>
      <c r="AR17" s="6"/>
      <c r="CF17" s="8"/>
      <c r="DW17" s="1">
        <f t="shared" si="11"/>
        <v>3.4</v>
      </c>
      <c r="DX17" s="12" t="str">
        <f t="shared" si="12"/>
        <v>0.0001-7.940201i</v>
      </c>
      <c r="DY17" s="13" t="str">
        <f t="shared" si="0"/>
        <v>0.000000001</v>
      </c>
      <c r="DZ17" s="13" t="str">
        <f t="shared" si="7"/>
        <v>0.010799+3.671549i</v>
      </c>
      <c r="EA17" s="14" t="str">
        <f t="shared" si="8"/>
        <v>5399336805.55556+0.0001i</v>
      </c>
      <c r="EC17" s="1" t="str">
        <f t="shared" si="1"/>
        <v>0.010799001+3.671549i</v>
      </c>
      <c r="ED17" s="1" t="str">
        <f t="shared" si="9"/>
        <v>58307443.562164+19823929649.1007i</v>
      </c>
      <c r="EE17" s="1" t="str">
        <f t="shared" si="10"/>
        <v>5399336805.56636+3.671649i</v>
      </c>
      <c r="EF17" s="1" t="str">
        <f t="shared" si="13"/>
        <v>0.010799+3.671549i</v>
      </c>
      <c r="EG17" s="1" t="str">
        <f t="shared" si="14"/>
        <v>0.010899-4.268652i</v>
      </c>
      <c r="EI17" s="15">
        <f t="shared" si="2"/>
        <v>29</v>
      </c>
      <c r="EJ17" s="15">
        <f t="shared" si="3"/>
        <v>0</v>
      </c>
      <c r="EK17" s="1">
        <f t="shared" si="4"/>
        <v>0</v>
      </c>
      <c r="FN17" s="1">
        <f t="shared" si="5"/>
        <v>3.4</v>
      </c>
      <c r="FO17" s="1">
        <f t="shared" si="6"/>
        <v>4.2686659139952612</v>
      </c>
      <c r="FY17" s="113" t="s">
        <v>45</v>
      </c>
      <c r="FZ17" s="113"/>
      <c r="GA17" s="113"/>
      <c r="GB17" s="113"/>
      <c r="GC17" s="113"/>
      <c r="GD17" s="113"/>
      <c r="GE17" s="113"/>
      <c r="GF17" s="113"/>
      <c r="GG17" s="113"/>
      <c r="GH17" s="113"/>
      <c r="GI17" s="113"/>
      <c r="GJ17" s="113"/>
      <c r="GK17" s="113"/>
      <c r="GL17" s="113"/>
      <c r="GM17" s="118">
        <f>SUM(EB279:EP279)*3</f>
        <v>1.0870808750833337E-3</v>
      </c>
      <c r="GN17" s="118"/>
      <c r="GO17" s="118"/>
      <c r="GP17" s="118"/>
      <c r="GQ17" s="1" t="str">
        <f>"Watts, 3-Phase or "&amp;ROUND(GM17*3.412141,0)&amp;" BTUs/Hour"</f>
        <v>Watts, 3-Phase or 0 BTUs/Hour</v>
      </c>
    </row>
    <row r="18" spans="2:199" ht="18" customHeight="1" x14ac:dyDescent="0.25">
      <c r="B18" s="28"/>
      <c r="C18" s="24"/>
      <c r="D18" s="24"/>
      <c r="E18" s="89" t="s">
        <v>46</v>
      </c>
      <c r="F18" s="89"/>
      <c r="G18" s="89"/>
      <c r="H18" s="89"/>
      <c r="I18" s="89"/>
      <c r="J18" s="89"/>
      <c r="K18" s="89"/>
      <c r="L18" s="89"/>
      <c r="M18" s="89"/>
      <c r="N18" s="89"/>
      <c r="O18" s="89"/>
      <c r="P18" s="89"/>
      <c r="Q18" s="89"/>
      <c r="R18" s="168"/>
      <c r="S18" s="108">
        <v>6000</v>
      </c>
      <c r="T18" s="108"/>
      <c r="U18" s="108"/>
      <c r="V18" s="36" t="s">
        <v>47</v>
      </c>
      <c r="W18" s="24"/>
      <c r="X18" s="37"/>
      <c r="Y18" s="37"/>
      <c r="Z18" s="37"/>
      <c r="AA18" s="37"/>
      <c r="AB18" s="37"/>
      <c r="AC18" s="37"/>
      <c r="AD18" s="24"/>
      <c r="AE18" s="37"/>
      <c r="AF18" s="37"/>
      <c r="AG18" s="24"/>
      <c r="AH18" s="24"/>
      <c r="AI18" s="24"/>
      <c r="AJ18" s="24"/>
      <c r="AK18" s="24"/>
      <c r="AL18" s="24"/>
      <c r="AM18" s="24"/>
      <c r="AN18" s="24"/>
      <c r="AO18" s="24"/>
      <c r="AP18" s="8"/>
      <c r="AR18" s="6"/>
      <c r="AS18" s="171" t="s">
        <v>48</v>
      </c>
      <c r="AT18" s="171"/>
      <c r="AU18" s="171"/>
      <c r="AV18" s="171"/>
      <c r="AW18" s="171"/>
      <c r="AX18" s="171"/>
      <c r="AY18" s="171"/>
      <c r="AZ18" s="171"/>
      <c r="BA18" s="171"/>
      <c r="BB18" s="171"/>
      <c r="BC18" s="171"/>
      <c r="BD18" s="171"/>
      <c r="BE18" s="171"/>
      <c r="BF18" s="171"/>
      <c r="BG18" s="171"/>
      <c r="BH18" s="171"/>
      <c r="BI18" s="171"/>
      <c r="BJ18" s="165">
        <f>AK20/S29</f>
        <v>55.624829069535664</v>
      </c>
      <c r="BK18" s="165"/>
      <c r="BL18" s="165"/>
      <c r="BM18" s="33" t="s">
        <v>49</v>
      </c>
      <c r="BN18" s="38"/>
      <c r="BO18" s="38"/>
      <c r="BZ18" s="35" t="s">
        <v>50</v>
      </c>
      <c r="CA18" s="78">
        <f>(S28*S28)/AJ28*1000</f>
        <v>134.9834201388889</v>
      </c>
      <c r="CB18" s="78"/>
      <c r="CC18" s="78"/>
      <c r="CD18" s="1" t="s">
        <v>44</v>
      </c>
      <c r="CF18" s="8"/>
      <c r="DW18" s="1">
        <f t="shared" si="11"/>
        <v>3.6</v>
      </c>
      <c r="DX18" s="12" t="str">
        <f t="shared" si="12"/>
        <v>0.0001-7.499079i</v>
      </c>
      <c r="DY18" s="13" t="str">
        <f t="shared" si="0"/>
        <v>0.000000001</v>
      </c>
      <c r="DZ18" s="13" t="str">
        <f t="shared" si="7"/>
        <v>0.010799+3.887523i</v>
      </c>
      <c r="EA18" s="14" t="str">
        <f t="shared" si="8"/>
        <v>5399336805.55556+0.0001i</v>
      </c>
      <c r="EC18" s="1" t="str">
        <f t="shared" si="1"/>
        <v>0.010799001+3.887523i</v>
      </c>
      <c r="ED18" s="1" t="str">
        <f t="shared" si="9"/>
        <v>58307443.562143+20990046016.3438i</v>
      </c>
      <c r="EE18" s="1" t="str">
        <f t="shared" si="10"/>
        <v>5399336805.56636+3.887623i</v>
      </c>
      <c r="EF18" s="1" t="str">
        <f t="shared" si="13"/>
        <v>0.010799+3.887523i</v>
      </c>
      <c r="EG18" s="1" t="str">
        <f t="shared" si="14"/>
        <v>0.010899-3.611556i</v>
      </c>
      <c r="EI18" s="15">
        <f t="shared" si="2"/>
        <v>31</v>
      </c>
      <c r="EJ18" s="15">
        <f t="shared" si="3"/>
        <v>0</v>
      </c>
      <c r="EK18" s="1">
        <f t="shared" si="4"/>
        <v>0</v>
      </c>
      <c r="FN18" s="1">
        <f t="shared" si="5"/>
        <v>3.6</v>
      </c>
      <c r="FO18" s="1">
        <f t="shared" si="6"/>
        <v>3.6115724455335241</v>
      </c>
    </row>
    <row r="19" spans="2:199" ht="18" customHeight="1" x14ac:dyDescent="0.25">
      <c r="B19" s="28"/>
      <c r="C19" s="24"/>
      <c r="D19" s="24"/>
      <c r="E19" s="89" t="s">
        <v>51</v>
      </c>
      <c r="F19" s="89"/>
      <c r="G19" s="89"/>
      <c r="H19" s="89"/>
      <c r="I19" s="89"/>
      <c r="J19" s="89"/>
      <c r="K19" s="89"/>
      <c r="L19" s="89"/>
      <c r="M19" s="89"/>
      <c r="N19" s="89"/>
      <c r="O19" s="89"/>
      <c r="P19" s="89"/>
      <c r="Q19" s="89"/>
      <c r="R19" s="168"/>
      <c r="S19" s="169">
        <v>5</v>
      </c>
      <c r="T19" s="169"/>
      <c r="U19" s="169"/>
      <c r="V19" s="33" t="s">
        <v>52</v>
      </c>
      <c r="W19" s="24"/>
      <c r="X19" s="24"/>
      <c r="Y19" s="24"/>
      <c r="Z19" s="24"/>
      <c r="AA19" s="24"/>
      <c r="AB19" s="24"/>
      <c r="AC19" s="24"/>
      <c r="AD19" s="24"/>
      <c r="AE19" s="24"/>
      <c r="AF19" s="24"/>
      <c r="AG19" s="24"/>
      <c r="AH19" s="24"/>
      <c r="AI19" s="24"/>
      <c r="AJ19" s="32" t="s">
        <v>53</v>
      </c>
      <c r="AK19" s="170">
        <f>S20*S19</f>
        <v>300</v>
      </c>
      <c r="AL19" s="170"/>
      <c r="AM19" s="170"/>
      <c r="AN19" s="24" t="s">
        <v>54</v>
      </c>
      <c r="AO19" s="24"/>
      <c r="AP19" s="8"/>
      <c r="AR19" s="6"/>
      <c r="AS19" s="171" t="s">
        <v>55</v>
      </c>
      <c r="AT19" s="171"/>
      <c r="AU19" s="171"/>
      <c r="AV19" s="171"/>
      <c r="AW19" s="171"/>
      <c r="AX19" s="171"/>
      <c r="AY19" s="171"/>
      <c r="AZ19" s="171"/>
      <c r="BA19" s="171"/>
      <c r="BB19" s="171"/>
      <c r="BC19" s="171"/>
      <c r="BD19" s="171"/>
      <c r="BE19" s="171"/>
      <c r="BF19" s="171"/>
      <c r="BG19" s="171"/>
      <c r="BH19" s="171"/>
      <c r="BI19" s="171"/>
      <c r="BJ19" s="75">
        <f>1.8*BJ18</f>
        <v>100.1246923251642</v>
      </c>
      <c r="BK19" s="75"/>
      <c r="BL19" s="75"/>
      <c r="BM19" s="33" t="s">
        <v>49</v>
      </c>
      <c r="BN19" s="38"/>
      <c r="BO19" s="38"/>
      <c r="BZ19" s="35" t="s">
        <v>56</v>
      </c>
      <c r="CA19" s="78">
        <f>1000*1000/(2*3.1415*S20*CA18)</f>
        <v>19.651751421552706</v>
      </c>
      <c r="CB19" s="78"/>
      <c r="CC19" s="78"/>
      <c r="CD19" s="1" t="s">
        <v>57</v>
      </c>
      <c r="CF19" s="8"/>
      <c r="DW19" s="1">
        <f t="shared" si="11"/>
        <v>3.8</v>
      </c>
      <c r="DX19" s="12" t="str">
        <f t="shared" si="12"/>
        <v>0.0001-7.104391i</v>
      </c>
      <c r="DY19" s="13" t="str">
        <f t="shared" si="0"/>
        <v>0.000000001</v>
      </c>
      <c r="DZ19" s="13" t="str">
        <f t="shared" si="7"/>
        <v>0.010799+4.103496i</v>
      </c>
      <c r="EA19" s="14" t="str">
        <f t="shared" si="8"/>
        <v>5399336805.55556+0.0001i</v>
      </c>
      <c r="EC19" s="1" t="str">
        <f t="shared" si="1"/>
        <v>0.010799001+4.103496i</v>
      </c>
      <c r="ED19" s="1" t="str">
        <f t="shared" si="9"/>
        <v>58307443.562121+22156156984.25i</v>
      </c>
      <c r="EE19" s="1" t="str">
        <f t="shared" si="10"/>
        <v>5399336805.56636+4.103596i</v>
      </c>
      <c r="EF19" s="1" t="str">
        <f t="shared" si="13"/>
        <v>0.010799+4.103496i</v>
      </c>
      <c r="EG19" s="1" t="str">
        <f t="shared" si="14"/>
        <v>0.010899-3.000895i</v>
      </c>
      <c r="EI19" s="15">
        <f t="shared" si="2"/>
        <v>35</v>
      </c>
      <c r="EJ19" s="15">
        <f t="shared" si="3"/>
        <v>15</v>
      </c>
      <c r="EK19" s="1">
        <f t="shared" si="4"/>
        <v>225</v>
      </c>
      <c r="FN19" s="1">
        <f t="shared" si="5"/>
        <v>3.8</v>
      </c>
      <c r="FO19" s="1">
        <f t="shared" si="6"/>
        <v>3.0009147920635795</v>
      </c>
    </row>
    <row r="20" spans="2:199" ht="18" customHeight="1" x14ac:dyDescent="0.25">
      <c r="B20" s="28"/>
      <c r="C20" s="24"/>
      <c r="D20" s="24"/>
      <c r="E20" s="89" t="s">
        <v>58</v>
      </c>
      <c r="F20" s="89"/>
      <c r="G20" s="89"/>
      <c r="H20" s="89"/>
      <c r="I20" s="89"/>
      <c r="J20" s="89"/>
      <c r="K20" s="89"/>
      <c r="L20" s="89"/>
      <c r="M20" s="89"/>
      <c r="N20" s="89"/>
      <c r="O20" s="89"/>
      <c r="P20" s="89"/>
      <c r="Q20" s="89"/>
      <c r="R20" s="168"/>
      <c r="S20" s="108">
        <v>60</v>
      </c>
      <c r="T20" s="108"/>
      <c r="U20" s="108"/>
      <c r="V20" s="33" t="s">
        <v>59</v>
      </c>
      <c r="W20" s="24"/>
      <c r="X20" s="24"/>
      <c r="Y20" s="24"/>
      <c r="Z20" s="24"/>
      <c r="AA20" s="24"/>
      <c r="AB20" s="24"/>
      <c r="AC20" s="24"/>
      <c r="AD20" s="24"/>
      <c r="AE20" s="24"/>
      <c r="AF20" s="24"/>
      <c r="AG20" s="24"/>
      <c r="AH20" s="24"/>
      <c r="AI20" s="24"/>
      <c r="AJ20" s="32" t="s">
        <v>60</v>
      </c>
      <c r="AK20" s="107">
        <f>1000*0.001*S18/(S17*1.73)</f>
        <v>278.12414534767834</v>
      </c>
      <c r="AL20" s="107"/>
      <c r="AM20" s="107"/>
      <c r="AN20" s="24" t="s">
        <v>49</v>
      </c>
      <c r="AO20" s="24"/>
      <c r="AP20" s="8"/>
      <c r="AR20" s="6"/>
      <c r="AS20" s="89" t="s">
        <v>61</v>
      </c>
      <c r="AT20" s="89"/>
      <c r="AU20" s="89"/>
      <c r="AV20" s="89"/>
      <c r="AW20" s="89"/>
      <c r="AX20" s="89"/>
      <c r="AY20" s="89"/>
      <c r="AZ20" s="89"/>
      <c r="BA20" s="89"/>
      <c r="BB20" s="89"/>
      <c r="BC20" s="89"/>
      <c r="BD20" s="89"/>
      <c r="BE20" s="89"/>
      <c r="BF20" s="89"/>
      <c r="BG20" s="89"/>
      <c r="BH20" s="89"/>
      <c r="BI20" s="89"/>
      <c r="BJ20" s="165">
        <f>AK20*AJ30/1000</f>
        <v>7.508429672447015</v>
      </c>
      <c r="BK20" s="165"/>
      <c r="BL20" s="165"/>
      <c r="BM20" s="166" t="s">
        <v>42</v>
      </c>
      <c r="BN20" s="166"/>
      <c r="BO20" s="166"/>
      <c r="CF20" s="8"/>
      <c r="DW20" s="1">
        <f t="shared" si="11"/>
        <v>4</v>
      </c>
      <c r="DX20" s="12" t="str">
        <f t="shared" si="12"/>
        <v>0.0001-6.749171i</v>
      </c>
      <c r="DY20" s="13" t="str">
        <f t="shared" si="0"/>
        <v>0.000000001</v>
      </c>
      <c r="DZ20" s="13" t="str">
        <f t="shared" si="7"/>
        <v>0.010799+4.319469i</v>
      </c>
      <c r="EA20" s="14" t="str">
        <f t="shared" si="8"/>
        <v>5399336805.55556+0.0001i</v>
      </c>
      <c r="EC20" s="1" t="str">
        <f t="shared" si="1"/>
        <v>0.010799001+4.319469i</v>
      </c>
      <c r="ED20" s="1" t="str">
        <f t="shared" si="9"/>
        <v>58307443.562099+23322267952.1563i</v>
      </c>
      <c r="EE20" s="1" t="str">
        <f t="shared" si="10"/>
        <v>5399336805.56636+4.319569i</v>
      </c>
      <c r="EF20" s="1" t="str">
        <f t="shared" si="13"/>
        <v>0.010799+4.319469i</v>
      </c>
      <c r="EG20" s="1" t="str">
        <f t="shared" si="14"/>
        <v>0.010899-2.429702i</v>
      </c>
      <c r="EI20" s="15">
        <f t="shared" si="2"/>
        <v>37</v>
      </c>
      <c r="EJ20" s="15">
        <f t="shared" si="3"/>
        <v>15.000000000000004</v>
      </c>
      <c r="EK20" s="1">
        <f t="shared" si="4"/>
        <v>225.00000000000011</v>
      </c>
      <c r="FN20" s="1">
        <f t="shared" si="5"/>
        <v>4</v>
      </c>
      <c r="FO20" s="1">
        <f t="shared" si="6"/>
        <v>2.4297264448914815</v>
      </c>
    </row>
    <row r="21" spans="2:199" ht="18" customHeight="1" x14ac:dyDescent="0.25">
      <c r="B21" s="28"/>
      <c r="V21" s="24"/>
      <c r="W21" s="24"/>
      <c r="X21" s="24"/>
      <c r="Y21" s="24"/>
      <c r="Z21" s="24"/>
      <c r="AA21" s="24"/>
      <c r="AB21" s="24"/>
      <c r="AC21" s="24"/>
      <c r="AD21" s="24"/>
      <c r="AE21" s="24"/>
      <c r="AF21" s="24"/>
      <c r="AG21" s="24"/>
      <c r="AH21" s="24"/>
      <c r="AI21" s="24"/>
      <c r="AJ21" s="32" t="s">
        <v>62</v>
      </c>
      <c r="AK21" s="167">
        <f>SQRT(SUM(EI262:EP262,EA262:EH262))</f>
        <v>314.88575741906226</v>
      </c>
      <c r="AL21" s="167"/>
      <c r="AM21" s="167"/>
      <c r="AN21" s="39" t="s">
        <v>49</v>
      </c>
      <c r="AO21" s="24"/>
      <c r="AP21" s="8"/>
      <c r="AR21" s="6"/>
      <c r="AS21" s="89" t="s">
        <v>63</v>
      </c>
      <c r="AT21" s="89"/>
      <c r="AU21" s="89"/>
      <c r="AV21" s="89"/>
      <c r="AW21" s="89"/>
      <c r="AX21" s="89"/>
      <c r="AY21" s="89"/>
      <c r="AZ21" s="89"/>
      <c r="BA21" s="89"/>
      <c r="BB21" s="89"/>
      <c r="BC21" s="89"/>
      <c r="BD21" s="89"/>
      <c r="BE21" s="89"/>
      <c r="BF21" s="89"/>
      <c r="BG21" s="89"/>
      <c r="BH21" s="89"/>
      <c r="BI21" s="89"/>
      <c r="BJ21" s="165">
        <f>SQRT(SUM(EA261:EH261)+SUM(EI261:EP261))/1000</f>
        <v>7.5359885317495268</v>
      </c>
      <c r="BK21" s="165"/>
      <c r="BL21" s="165"/>
      <c r="BM21" s="166" t="s">
        <v>42</v>
      </c>
      <c r="BN21" s="166"/>
      <c r="BO21" s="166"/>
      <c r="CF21" s="8"/>
      <c r="DW21" s="1">
        <f t="shared" si="11"/>
        <v>4.2</v>
      </c>
      <c r="DX21" s="12" t="str">
        <f t="shared" si="12"/>
        <v>0.0001-6.427782i</v>
      </c>
      <c r="DY21" s="13" t="str">
        <f t="shared" si="0"/>
        <v>0.000000001</v>
      </c>
      <c r="DZ21" s="13" t="str">
        <f t="shared" si="7"/>
        <v>0.010799+4.535443i</v>
      </c>
      <c r="EA21" s="14" t="str">
        <f t="shared" si="8"/>
        <v>5399336805.55556+0.0001i</v>
      </c>
      <c r="EC21" s="1" t="str">
        <f t="shared" si="1"/>
        <v>0.010799001+4.535443i</v>
      </c>
      <c r="ED21" s="1" t="str">
        <f t="shared" si="9"/>
        <v>58307443.562078+24488384319.3993i</v>
      </c>
      <c r="EE21" s="1" t="str">
        <f t="shared" si="10"/>
        <v>5399336805.56636+4.535543i</v>
      </c>
      <c r="EF21" s="1" t="str">
        <f t="shared" si="13"/>
        <v>0.010799+4.535443i</v>
      </c>
      <c r="EG21" s="1" t="str">
        <f t="shared" si="14"/>
        <v>0.010899-1.892339i</v>
      </c>
      <c r="EI21" s="15"/>
      <c r="EJ21" s="15"/>
      <c r="EK21" s="1">
        <f>SQRT(SUM(EK5:EK20))</f>
        <v>472.32863612859336</v>
      </c>
      <c r="FN21" s="1">
        <f t="shared" si="5"/>
        <v>4.2</v>
      </c>
      <c r="FO21" s="1">
        <f t="shared" si="6"/>
        <v>1.892370386346711</v>
      </c>
    </row>
    <row r="22" spans="2:199" ht="18" customHeight="1" x14ac:dyDescent="0.25">
      <c r="B22" s="6"/>
      <c r="AP22" s="8"/>
      <c r="AR22" s="6"/>
      <c r="AS22" s="89" t="s">
        <v>64</v>
      </c>
      <c r="AT22" s="89"/>
      <c r="AU22" s="89"/>
      <c r="AV22" s="89"/>
      <c r="AW22" s="89"/>
      <c r="AX22" s="89"/>
      <c r="AY22" s="89"/>
      <c r="AZ22" s="89"/>
      <c r="BA22" s="89"/>
      <c r="BB22" s="89"/>
      <c r="BC22" s="89"/>
      <c r="BD22" s="89"/>
      <c r="BE22" s="89"/>
      <c r="BF22" s="89"/>
      <c r="BG22" s="89"/>
      <c r="BH22" s="89"/>
      <c r="BI22" s="89"/>
      <c r="BJ22" s="165">
        <f>1.414*SUM(O61:R76)/1000</f>
        <v>12.231053694994152</v>
      </c>
      <c r="BK22" s="165"/>
      <c r="BL22" s="165"/>
      <c r="BM22" s="166" t="s">
        <v>42</v>
      </c>
      <c r="BN22" s="166"/>
      <c r="BO22" s="166"/>
      <c r="CF22" s="8"/>
      <c r="DW22" s="1">
        <f t="shared" si="11"/>
        <v>4.4000000000000004</v>
      </c>
      <c r="DX22" s="12" t="str">
        <f t="shared" si="12"/>
        <v>0.0001-6.13561i</v>
      </c>
      <c r="DY22" s="13" t="str">
        <f t="shared" si="0"/>
        <v>0.000000001</v>
      </c>
      <c r="DZ22" s="13" t="str">
        <f t="shared" si="7"/>
        <v>0.010799+4.751416i</v>
      </c>
      <c r="EA22" s="14" t="str">
        <f t="shared" si="8"/>
        <v>5399336805.55556+0.0001i</v>
      </c>
      <c r="EC22" s="1" t="str">
        <f t="shared" si="1"/>
        <v>0.010799001+4.751416i</v>
      </c>
      <c r="ED22" s="1" t="str">
        <f t="shared" si="9"/>
        <v>58307443.562056+25654495287.3056i</v>
      </c>
      <c r="EE22" s="1" t="str">
        <f t="shared" si="10"/>
        <v>5399336805.56636+4.751516i</v>
      </c>
      <c r="EF22" s="1" t="str">
        <f t="shared" si="13"/>
        <v>0.010799+4.751416i</v>
      </c>
      <c r="EG22" s="1" t="str">
        <f t="shared" si="14"/>
        <v>0.010899-1.384194i</v>
      </c>
      <c r="EI22" s="15"/>
      <c r="EJ22" s="15"/>
      <c r="FN22" s="1">
        <f t="shared" si="5"/>
        <v>4.4000000000000004</v>
      </c>
      <c r="FO22" s="1">
        <f t="shared" si="6"/>
        <v>1.3842369081327806</v>
      </c>
    </row>
    <row r="23" spans="2:199" ht="18" customHeight="1" x14ac:dyDescent="0.25">
      <c r="B23" s="6"/>
      <c r="C23" s="164" t="s">
        <v>65</v>
      </c>
      <c r="D23" s="164"/>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8"/>
      <c r="AR23" s="6"/>
      <c r="AS23" s="89" t="s">
        <v>66</v>
      </c>
      <c r="AT23" s="89"/>
      <c r="AU23" s="89"/>
      <c r="AV23" s="89"/>
      <c r="AW23" s="89"/>
      <c r="AX23" s="89"/>
      <c r="AY23" s="89"/>
      <c r="AZ23" s="89"/>
      <c r="BA23" s="89"/>
      <c r="BB23" s="89"/>
      <c r="BC23" s="89"/>
      <c r="BD23" s="89"/>
      <c r="BE23" s="89"/>
      <c r="BF23" s="89"/>
      <c r="BG23" s="89"/>
      <c r="BH23" s="89"/>
      <c r="BI23" s="89"/>
      <c r="BJ23" s="165">
        <f>SQRT(SUM(EA262:EH262,EI262:EP262))/S29</f>
        <v>62.977151483812449</v>
      </c>
      <c r="BK23" s="165"/>
      <c r="BL23" s="165"/>
      <c r="BM23" s="166" t="s">
        <v>49</v>
      </c>
      <c r="BN23" s="166"/>
      <c r="BO23" s="166"/>
      <c r="CF23" s="8"/>
      <c r="DW23" s="1">
        <f t="shared" si="11"/>
        <v>4.5999999999999996</v>
      </c>
      <c r="DX23" s="12" t="str">
        <f t="shared" si="12"/>
        <v>0.0001-5.868844i</v>
      </c>
      <c r="DY23" s="13" t="str">
        <f t="shared" si="0"/>
        <v>0.000000001</v>
      </c>
      <c r="DZ23" s="13" t="str">
        <f t="shared" si="7"/>
        <v>0.010799+4.96739i</v>
      </c>
      <c r="EA23" s="14" t="str">
        <f t="shared" si="8"/>
        <v>5399336805.55556+0.0001i</v>
      </c>
      <c r="EC23" s="1" t="str">
        <f t="shared" si="1"/>
        <v>0.010799001+4.96739i</v>
      </c>
      <c r="ED23" s="1" t="str">
        <f t="shared" si="9"/>
        <v>58307443.562035+26820611654.5486i</v>
      </c>
      <c r="EE23" s="1" t="str">
        <f t="shared" si="10"/>
        <v>5399336805.56636+4.96749i</v>
      </c>
      <c r="EF23" s="1" t="str">
        <f t="shared" si="13"/>
        <v>0.010799+4.96739i</v>
      </c>
      <c r="EG23" s="1" t="str">
        <f t="shared" si="14"/>
        <v>0.010899-0.901454i</v>
      </c>
      <c r="EI23" s="15"/>
      <c r="EJ23" s="15"/>
      <c r="FN23" s="1">
        <f t="shared" si="5"/>
        <v>4.5999999999999996</v>
      </c>
      <c r="FO23" s="1">
        <f t="shared" si="6"/>
        <v>0.90151988459323495</v>
      </c>
    </row>
    <row r="24" spans="2:199" ht="18" customHeight="1" x14ac:dyDescent="0.25">
      <c r="B24" s="6"/>
      <c r="C24" s="160" t="s">
        <v>67</v>
      </c>
      <c r="D24" s="160"/>
      <c r="E24" s="160"/>
      <c r="F24" s="160"/>
      <c r="G24" s="160"/>
      <c r="H24" s="160"/>
      <c r="I24" s="161"/>
      <c r="J24" s="162">
        <v>1</v>
      </c>
      <c r="K24" s="163"/>
      <c r="L24" s="152">
        <v>2</v>
      </c>
      <c r="M24" s="153"/>
      <c r="N24" s="152">
        <v>3</v>
      </c>
      <c r="O24" s="153"/>
      <c r="P24" s="152">
        <v>4</v>
      </c>
      <c r="Q24" s="153"/>
      <c r="R24" s="152">
        <v>5</v>
      </c>
      <c r="S24" s="153"/>
      <c r="T24" s="152">
        <v>7</v>
      </c>
      <c r="U24" s="153"/>
      <c r="V24" s="152">
        <v>11</v>
      </c>
      <c r="W24" s="153"/>
      <c r="X24" s="152">
        <v>13</v>
      </c>
      <c r="Y24" s="153"/>
      <c r="Z24" s="152">
        <v>17</v>
      </c>
      <c r="AA24" s="153"/>
      <c r="AB24" s="152">
        <v>19</v>
      </c>
      <c r="AC24" s="153"/>
      <c r="AD24" s="152">
        <v>23</v>
      </c>
      <c r="AE24" s="153"/>
      <c r="AF24" s="152">
        <v>25</v>
      </c>
      <c r="AG24" s="153"/>
      <c r="AH24" s="152">
        <v>29</v>
      </c>
      <c r="AI24" s="153"/>
      <c r="AJ24" s="152">
        <v>31</v>
      </c>
      <c r="AK24" s="153"/>
      <c r="AL24" s="152">
        <v>35</v>
      </c>
      <c r="AM24" s="153"/>
      <c r="AN24" s="152">
        <v>37</v>
      </c>
      <c r="AO24" s="154"/>
      <c r="AP24" s="8"/>
      <c r="AR24" s="6"/>
      <c r="AS24" s="89" t="s">
        <v>68</v>
      </c>
      <c r="AT24" s="89"/>
      <c r="AU24" s="89"/>
      <c r="AV24" s="89"/>
      <c r="AW24" s="89"/>
      <c r="AX24" s="89"/>
      <c r="AY24" s="89"/>
      <c r="AZ24" s="89"/>
      <c r="BA24" s="89"/>
      <c r="BB24" s="89"/>
      <c r="BC24" s="89"/>
      <c r="BD24" s="89"/>
      <c r="BE24" s="89"/>
      <c r="BF24" s="89"/>
      <c r="BG24" s="89"/>
      <c r="BH24" s="89"/>
      <c r="BI24" s="89"/>
      <c r="BJ24" s="124">
        <f>1*(SUM(EA263:EH263)+SUM(EI263:EP263))</f>
        <v>2178.8086806811807</v>
      </c>
      <c r="BK24" s="124"/>
      <c r="BL24" s="124"/>
      <c r="BM24" s="166" t="s">
        <v>47</v>
      </c>
      <c r="BN24" s="166"/>
      <c r="BO24" s="166"/>
      <c r="CF24" s="8"/>
      <c r="DW24" s="1">
        <f t="shared" si="11"/>
        <v>4.8</v>
      </c>
      <c r="DX24" s="12" t="str">
        <f t="shared" si="12"/>
        <v>0.0001-5.624309i</v>
      </c>
      <c r="DY24" s="13" t="str">
        <f t="shared" si="0"/>
        <v>0.000000001</v>
      </c>
      <c r="DZ24" s="13" t="str">
        <f t="shared" si="7"/>
        <v>0.010799+5.183363i</v>
      </c>
      <c r="EA24" s="14" t="str">
        <f t="shared" si="8"/>
        <v>5399336805.55556+0.0001i</v>
      </c>
      <c r="EC24" s="1" t="str">
        <f t="shared" si="1"/>
        <v>0.010799001+5.183363i</v>
      </c>
      <c r="ED24" s="1" t="str">
        <f t="shared" si="9"/>
        <v>58307443.562013+27986722622.4549i</v>
      </c>
      <c r="EE24" s="1" t="str">
        <f t="shared" si="10"/>
        <v>5399336805.56636+5.183463i</v>
      </c>
      <c r="EF24" s="1" t="str">
        <f t="shared" si="13"/>
        <v>0.010799+5.183363i</v>
      </c>
      <c r="EG24" s="1" t="str">
        <f t="shared" si="14"/>
        <v>0.010899-0.440946i</v>
      </c>
      <c r="EI24" s="15"/>
      <c r="EJ24" s="15"/>
      <c r="FN24" s="1">
        <f t="shared" si="5"/>
        <v>4.8</v>
      </c>
      <c r="FO24" s="1">
        <f t="shared" si="6"/>
        <v>0.4410806764266601</v>
      </c>
    </row>
    <row r="25" spans="2:199" ht="18" customHeight="1" x14ac:dyDescent="0.35">
      <c r="B25" s="6"/>
      <c r="C25" s="160" t="s">
        <v>69</v>
      </c>
      <c r="D25" s="160"/>
      <c r="E25" s="160"/>
      <c r="F25" s="160"/>
      <c r="G25" s="160"/>
      <c r="H25" s="160"/>
      <c r="I25" s="161"/>
      <c r="J25" s="162">
        <f>AK20</f>
        <v>278.12414534767834</v>
      </c>
      <c r="K25" s="163"/>
      <c r="L25" s="152">
        <v>0</v>
      </c>
      <c r="M25" s="153"/>
      <c r="N25" s="152">
        <v>0</v>
      </c>
      <c r="O25" s="153"/>
      <c r="P25" s="152">
        <v>0</v>
      </c>
      <c r="Q25" s="153"/>
      <c r="R25" s="152">
        <v>100</v>
      </c>
      <c r="S25" s="153"/>
      <c r="T25" s="152">
        <v>80</v>
      </c>
      <c r="U25" s="153"/>
      <c r="V25" s="152">
        <v>60</v>
      </c>
      <c r="W25" s="153"/>
      <c r="X25" s="152">
        <v>30</v>
      </c>
      <c r="Y25" s="153"/>
      <c r="Z25" s="152">
        <v>20</v>
      </c>
      <c r="AA25" s="153"/>
      <c r="AB25" s="152">
        <v>10</v>
      </c>
      <c r="AC25" s="153"/>
      <c r="AD25" s="152">
        <v>10</v>
      </c>
      <c r="AE25" s="153"/>
      <c r="AF25" s="152">
        <v>10</v>
      </c>
      <c r="AG25" s="153"/>
      <c r="AH25" s="152">
        <v>0</v>
      </c>
      <c r="AI25" s="153"/>
      <c r="AJ25" s="152">
        <v>0</v>
      </c>
      <c r="AK25" s="153"/>
      <c r="AL25" s="152">
        <v>10</v>
      </c>
      <c r="AM25" s="153"/>
      <c r="AN25" s="152">
        <v>10</v>
      </c>
      <c r="AO25" s="154"/>
      <c r="AP25" s="8"/>
      <c r="AR25" s="6"/>
      <c r="CF25" s="8"/>
      <c r="DW25" s="1">
        <f t="shared" si="11"/>
        <v>5</v>
      </c>
      <c r="DX25" s="12" t="str">
        <f t="shared" si="12"/>
        <v>0.0001-5.399337i</v>
      </c>
      <c r="DY25" s="13" t="str">
        <f t="shared" si="0"/>
        <v>0.000000001</v>
      </c>
      <c r="DZ25" s="13" t="str">
        <f t="shared" si="7"/>
        <v>0.010799+5.399337i</v>
      </c>
      <c r="EA25" s="14" t="str">
        <f t="shared" si="8"/>
        <v>5399336805.55556+0.0001i</v>
      </c>
      <c r="EB25" s="40"/>
      <c r="EC25" s="40" t="str">
        <f t="shared" si="1"/>
        <v>0.010799001+5.399337i</v>
      </c>
      <c r="ED25" s="1" t="str">
        <f t="shared" si="9"/>
        <v>58307443.561991+29152838989.6979i</v>
      </c>
      <c r="EE25" s="1" t="str">
        <f t="shared" si="10"/>
        <v>5399336805.56636+5.399437i</v>
      </c>
      <c r="EF25" s="1" t="str">
        <f t="shared" si="13"/>
        <v>0.010799+5.399337i</v>
      </c>
      <c r="EG25" s="1" t="str">
        <f t="shared" si="14"/>
        <v>0.010899</v>
      </c>
      <c r="FN25" s="1">
        <f t="shared" si="5"/>
        <v>5</v>
      </c>
      <c r="FO25" s="1">
        <f t="shared" si="6"/>
        <v>1.0899000000000001E-2</v>
      </c>
    </row>
    <row r="26" spans="2:199" ht="18" customHeight="1" x14ac:dyDescent="0.25">
      <c r="B26" s="6"/>
      <c r="AP26" s="8"/>
      <c r="AR26" s="6"/>
      <c r="CF26" s="27"/>
      <c r="DW26" s="1">
        <f t="shared" si="11"/>
        <v>5.2</v>
      </c>
      <c r="DX26" s="12" t="str">
        <f t="shared" si="12"/>
        <v>0.0001-5.19167i</v>
      </c>
      <c r="DY26" s="13" t="str">
        <f t="shared" si="0"/>
        <v>0.000000001</v>
      </c>
      <c r="DZ26" s="13" t="str">
        <f t="shared" si="7"/>
        <v>0.010799+5.61531i</v>
      </c>
      <c r="EA26" s="14" t="str">
        <f t="shared" si="8"/>
        <v>5399336805.55556+0.0001i</v>
      </c>
      <c r="EC26" s="1" t="str">
        <f t="shared" si="1"/>
        <v>0.010799001+5.61531i</v>
      </c>
      <c r="ED26" s="1" t="str">
        <f t="shared" si="9"/>
        <v>58307443.56197+30318949957.6042i</v>
      </c>
      <c r="EE26" s="1" t="str">
        <f t="shared" si="10"/>
        <v>5399336805.56636+5.61541i</v>
      </c>
      <c r="EF26" s="1" t="str">
        <f t="shared" si="13"/>
        <v>0.010799+5.61531i</v>
      </c>
      <c r="EG26" s="1" t="str">
        <f t="shared" si="14"/>
        <v>0.010899+0.42364i</v>
      </c>
      <c r="FN26" s="1">
        <f t="shared" si="5"/>
        <v>5.2</v>
      </c>
      <c r="FO26" s="1">
        <f t="shared" si="6"/>
        <v>0.42378017627184977</v>
      </c>
    </row>
    <row r="27" spans="2:199" ht="18" customHeight="1" x14ac:dyDescent="0.25">
      <c r="B27" s="6"/>
      <c r="C27" s="81" t="s">
        <v>70</v>
      </c>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
      <c r="AR27" s="6"/>
      <c r="CF27" s="8"/>
      <c r="DW27" s="1">
        <f t="shared" si="11"/>
        <v>5.4</v>
      </c>
      <c r="DX27" s="12" t="str">
        <f t="shared" si="12"/>
        <v>0.0001-4.999386i</v>
      </c>
      <c r="DY27" s="13" t="str">
        <f t="shared" si="0"/>
        <v>0.000000001</v>
      </c>
      <c r="DZ27" s="13" t="str">
        <f t="shared" si="7"/>
        <v>0.010799+5.831284i</v>
      </c>
      <c r="EA27" s="14" t="str">
        <f t="shared" si="8"/>
        <v>5399336805.55556+0.0001i</v>
      </c>
      <c r="EC27" s="1" t="str">
        <f t="shared" si="1"/>
        <v>0.010799001+5.831284i</v>
      </c>
      <c r="ED27" s="1" t="str">
        <f t="shared" si="9"/>
        <v>58307443.561948+31485066324.8472i</v>
      </c>
      <c r="EE27" s="1" t="str">
        <f t="shared" si="10"/>
        <v>5399336805.56636+5.831384i</v>
      </c>
      <c r="EF27" s="1" t="str">
        <f t="shared" si="13"/>
        <v>0.010799+5.831284i</v>
      </c>
      <c r="EG27" s="1" t="str">
        <f t="shared" si="14"/>
        <v>0.010899+0.831898i</v>
      </c>
      <c r="FN27" s="1">
        <f t="shared" si="5"/>
        <v>5.4</v>
      </c>
      <c r="FO27" s="1">
        <f t="shared" si="6"/>
        <v>0.83196939282944782</v>
      </c>
    </row>
    <row r="28" spans="2:199" ht="18" customHeight="1" x14ac:dyDescent="0.35">
      <c r="B28" s="155" t="s">
        <v>71</v>
      </c>
      <c r="C28" s="113"/>
      <c r="D28" s="113"/>
      <c r="E28" s="113"/>
      <c r="F28" s="113"/>
      <c r="G28" s="113"/>
      <c r="H28" s="113"/>
      <c r="I28" s="113"/>
      <c r="J28" s="113"/>
      <c r="K28" s="113"/>
      <c r="L28" s="113"/>
      <c r="M28" s="113"/>
      <c r="N28" s="113"/>
      <c r="O28" s="113"/>
      <c r="P28" s="113"/>
      <c r="Q28" s="113"/>
      <c r="R28" s="156"/>
      <c r="S28" s="157">
        <v>9.9600000000000009</v>
      </c>
      <c r="T28" s="158"/>
      <c r="U28" s="159"/>
      <c r="V28" s="1" t="s">
        <v>42</v>
      </c>
      <c r="AI28" s="29" t="s">
        <v>72</v>
      </c>
      <c r="AJ28" s="118">
        <f>AJ29/S29</f>
        <v>734.91692459657793</v>
      </c>
      <c r="AK28" s="118"/>
      <c r="AL28" s="118"/>
      <c r="AM28" s="1" t="s">
        <v>47</v>
      </c>
      <c r="AP28" s="8"/>
      <c r="AR28" s="6"/>
      <c r="CF28" s="8"/>
      <c r="DW28" s="1">
        <f t="shared" si="11"/>
        <v>5.6</v>
      </c>
      <c r="DX28" s="12" t="str">
        <f t="shared" si="12"/>
        <v>0.0001-4.820836i</v>
      </c>
      <c r="DY28" s="13" t="str">
        <f t="shared" si="0"/>
        <v>0.000000001</v>
      </c>
      <c r="DZ28" s="13" t="str">
        <f t="shared" si="7"/>
        <v>0.010799+6.047257i</v>
      </c>
      <c r="EA28" s="14" t="str">
        <f t="shared" si="8"/>
        <v>5399336805.55556+0.0001i</v>
      </c>
      <c r="EC28" s="1" t="str">
        <f t="shared" si="1"/>
        <v>0.010799001+6.047257i</v>
      </c>
      <c r="ED28" s="1" t="str">
        <f t="shared" si="9"/>
        <v>58307443.561927+32651177292.7535i</v>
      </c>
      <c r="EE28" s="1" t="str">
        <f t="shared" si="10"/>
        <v>5399336805.56636+6.047357i</v>
      </c>
      <c r="EF28" s="1" t="str">
        <f t="shared" si="13"/>
        <v>0.010799+6.047257i</v>
      </c>
      <c r="EG28" s="1" t="str">
        <f t="shared" si="14"/>
        <v>0.010899+1.226421i</v>
      </c>
      <c r="FN28" s="1">
        <f t="shared" si="5"/>
        <v>5.6</v>
      </c>
      <c r="FO28" s="1">
        <f t="shared" si="6"/>
        <v>1.2264694278464505</v>
      </c>
    </row>
    <row r="29" spans="2:199" ht="18" customHeight="1" x14ac:dyDescent="0.35">
      <c r="B29" s="146" t="s">
        <v>73</v>
      </c>
      <c r="C29" s="119"/>
      <c r="D29" s="119"/>
      <c r="E29" s="119"/>
      <c r="F29" s="119"/>
      <c r="G29" s="119"/>
      <c r="H29" s="119"/>
      <c r="I29" s="119"/>
      <c r="J29" s="119"/>
      <c r="K29" s="119"/>
      <c r="L29" s="119"/>
      <c r="M29" s="119"/>
      <c r="N29" s="119"/>
      <c r="O29" s="119"/>
      <c r="P29" s="119"/>
      <c r="Q29" s="119"/>
      <c r="R29" s="147"/>
      <c r="S29" s="148">
        <v>5</v>
      </c>
      <c r="T29" s="149"/>
      <c r="U29" s="150"/>
      <c r="AI29" s="35" t="s">
        <v>74</v>
      </c>
      <c r="AJ29" s="107">
        <f>1000*(S28*S28)/AJ30</f>
        <v>3674.5846229828894</v>
      </c>
      <c r="AK29" s="107"/>
      <c r="AL29" s="107"/>
      <c r="AM29" s="1" t="s">
        <v>47</v>
      </c>
      <c r="AP29" s="8"/>
      <c r="AR29" s="6"/>
      <c r="CF29" s="8"/>
      <c r="DW29" s="1">
        <f t="shared" si="11"/>
        <v>5.8</v>
      </c>
      <c r="DX29" s="12" t="str">
        <f t="shared" si="12"/>
        <v>0.0001-4.654601i</v>
      </c>
      <c r="DY29" s="13" t="str">
        <f t="shared" si="0"/>
        <v>0.000000001</v>
      </c>
      <c r="DZ29" s="13" t="str">
        <f t="shared" si="7"/>
        <v>0.010799+6.263231i</v>
      </c>
      <c r="EA29" s="14" t="str">
        <f t="shared" si="8"/>
        <v>5399336805.55556+0.0001i</v>
      </c>
      <c r="EC29" s="1" t="str">
        <f t="shared" si="1"/>
        <v>0.010799001+6.263231i</v>
      </c>
      <c r="ED29" s="1" t="str">
        <f t="shared" si="9"/>
        <v>58307443.561905+33817293659.9966i</v>
      </c>
      <c r="EE29" s="1" t="str">
        <f t="shared" si="10"/>
        <v>5399336805.56636+6.263331i</v>
      </c>
      <c r="EF29" s="1" t="str">
        <f t="shared" si="13"/>
        <v>0.010799+6.263231i</v>
      </c>
      <c r="EG29" s="1" t="str">
        <f t="shared" si="14"/>
        <v>0.010899+1.60863i</v>
      </c>
      <c r="FN29" s="1">
        <f t="shared" si="5"/>
        <v>5.8</v>
      </c>
      <c r="FO29" s="1">
        <f t="shared" si="6"/>
        <v>1.6086669217401717</v>
      </c>
    </row>
    <row r="30" spans="2:199" ht="18" x14ac:dyDescent="0.35">
      <c r="B30" s="6"/>
      <c r="J30" s="88" t="s">
        <v>319</v>
      </c>
      <c r="K30" s="88"/>
      <c r="L30" s="88"/>
      <c r="M30" s="88"/>
      <c r="N30" s="88"/>
      <c r="O30" s="88"/>
      <c r="P30" s="88"/>
      <c r="Q30" s="88"/>
      <c r="R30" s="88"/>
      <c r="S30" s="88"/>
      <c r="T30" s="88"/>
      <c r="U30" s="88"/>
      <c r="AI30" s="35" t="s">
        <v>75</v>
      </c>
      <c r="AJ30" s="78">
        <f>(S19*S19/(S19*S19-1))*AK17</f>
        <v>26.996684027777786</v>
      </c>
      <c r="AK30" s="78"/>
      <c r="AL30" s="78"/>
      <c r="AM30" s="1" t="s">
        <v>44</v>
      </c>
      <c r="AP30" s="8"/>
      <c r="AR30" s="6"/>
      <c r="CF30" s="8"/>
      <c r="DW30" s="1">
        <f t="shared" si="11"/>
        <v>6</v>
      </c>
      <c r="DX30" s="12" t="str">
        <f t="shared" si="12"/>
        <v>0.0001-4.499447i</v>
      </c>
      <c r="DY30" s="13" t="str">
        <f t="shared" si="0"/>
        <v>0.000000001</v>
      </c>
      <c r="DZ30" s="13" t="str">
        <f t="shared" si="7"/>
        <v>0.010799+6.479204i</v>
      </c>
      <c r="EA30" s="14" t="str">
        <f t="shared" si="8"/>
        <v>5399336805.55556+0.0001i</v>
      </c>
      <c r="EC30" s="1" t="str">
        <f t="shared" si="1"/>
        <v>0.010799001+6.479204i</v>
      </c>
      <c r="ED30" s="1" t="str">
        <f t="shared" si="9"/>
        <v>58307443.561883+34983404627.9028i</v>
      </c>
      <c r="EE30" s="1" t="str">
        <f t="shared" si="10"/>
        <v>5399336805.56636+6.479304i</v>
      </c>
      <c r="EF30" s="1" t="str">
        <f t="shared" si="13"/>
        <v>0.010799+6.479204i</v>
      </c>
      <c r="EG30" s="1" t="str">
        <f t="shared" si="14"/>
        <v>0.010899+1.979757i</v>
      </c>
      <c r="FN30" s="1">
        <f t="shared" si="5"/>
        <v>6</v>
      </c>
      <c r="FO30" s="1">
        <f t="shared" si="6"/>
        <v>1.9797870004750509</v>
      </c>
    </row>
    <row r="31" spans="2:199" ht="18" customHeight="1" x14ac:dyDescent="0.25">
      <c r="B31" s="6"/>
      <c r="AI31" s="29" t="s">
        <v>76</v>
      </c>
      <c r="AJ31" s="151">
        <f>ROUND(1000*1000/(2*3.1415*S20*AJ30),2)</f>
        <v>98.26</v>
      </c>
      <c r="AK31" s="151"/>
      <c r="AL31" s="151"/>
      <c r="AM31" s="1" t="s">
        <v>77</v>
      </c>
      <c r="AO31" s="41"/>
      <c r="AP31" s="8"/>
      <c r="AR31" s="6"/>
      <c r="CF31" s="8"/>
      <c r="DW31" s="1">
        <f t="shared" si="11"/>
        <v>6.2</v>
      </c>
      <c r="DX31" s="12" t="str">
        <f t="shared" si="12"/>
        <v>0.0001-4.354304i</v>
      </c>
      <c r="DY31" s="13" t="str">
        <f t="shared" si="0"/>
        <v>0.000000001</v>
      </c>
      <c r="DZ31" s="13" t="str">
        <f t="shared" si="7"/>
        <v>0.010799+6.695178i</v>
      </c>
      <c r="EA31" s="14" t="str">
        <f t="shared" si="8"/>
        <v>5399336805.55556+0.0001i</v>
      </c>
      <c r="EC31" s="1" t="str">
        <f t="shared" si="1"/>
        <v>0.010799001+6.695178i</v>
      </c>
      <c r="ED31" s="1" t="str">
        <f t="shared" si="9"/>
        <v>58307443.561862+36149520995.1459i</v>
      </c>
      <c r="EE31" s="1" t="str">
        <f t="shared" si="10"/>
        <v>5399336805.56636+6.695278i</v>
      </c>
      <c r="EF31" s="1" t="str">
        <f t="shared" si="13"/>
        <v>0.010799+6.695178i</v>
      </c>
      <c r="EG31" s="1" t="str">
        <f t="shared" si="14"/>
        <v>0.010899+2.340874i</v>
      </c>
      <c r="FN31" s="1">
        <f t="shared" si="5"/>
        <v>6.2</v>
      </c>
      <c r="FO31" s="1">
        <f t="shared" si="6"/>
        <v>2.340899372479945</v>
      </c>
    </row>
    <row r="32" spans="2:199" ht="18" customHeight="1" x14ac:dyDescent="0.25">
      <c r="B32" s="6"/>
      <c r="AP32" s="8"/>
      <c r="AR32" s="6"/>
      <c r="CF32" s="8"/>
      <c r="DW32" s="1">
        <f t="shared" si="11"/>
        <v>6.4</v>
      </c>
      <c r="DX32" s="12" t="str">
        <f t="shared" si="12"/>
        <v>0.0001-4.218232i</v>
      </c>
      <c r="DY32" s="13" t="str">
        <f t="shared" si="0"/>
        <v>0.000000001</v>
      </c>
      <c r="DZ32" s="13" t="str">
        <f t="shared" si="7"/>
        <v>0.010799+6.911151i</v>
      </c>
      <c r="EA32" s="14" t="str">
        <f t="shared" si="8"/>
        <v>5399336805.55556+0.0001i</v>
      </c>
      <c r="EC32" s="1" t="str">
        <f t="shared" si="1"/>
        <v>0.010799001+6.911151i</v>
      </c>
      <c r="ED32" s="1" t="str">
        <f t="shared" si="9"/>
        <v>58307443.56184+37315631963.0521i</v>
      </c>
      <c r="EE32" s="1" t="str">
        <f t="shared" si="10"/>
        <v>5399336805.56636+6.911251i</v>
      </c>
      <c r="EF32" s="1" t="str">
        <f t="shared" si="13"/>
        <v>0.010799+6.911151i</v>
      </c>
      <c r="EG32" s="1" t="str">
        <f t="shared" si="14"/>
        <v>0.010899+2.692919i</v>
      </c>
      <c r="FN32" s="1">
        <f t="shared" si="5"/>
        <v>6.4</v>
      </c>
      <c r="FO32" s="1">
        <f t="shared" si="6"/>
        <v>2.6929410555676854</v>
      </c>
    </row>
    <row r="33" spans="2:249" ht="18" customHeight="1" x14ac:dyDescent="0.25">
      <c r="B33" s="6"/>
      <c r="C33" s="81" t="s">
        <v>78</v>
      </c>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
      <c r="AR33" s="6"/>
      <c r="CF33" s="8"/>
      <c r="DW33" s="1">
        <f t="shared" si="11"/>
        <v>6.6</v>
      </c>
      <c r="DX33" s="12" t="str">
        <f t="shared" si="12"/>
        <v>0.0001-4.090407i</v>
      </c>
      <c r="DY33" s="13" t="str">
        <f t="shared" si="0"/>
        <v>0.000000001</v>
      </c>
      <c r="DZ33" s="13" t="str">
        <f t="shared" si="7"/>
        <v>0.010799+7.127125i</v>
      </c>
      <c r="EA33" s="14" t="str">
        <f t="shared" si="8"/>
        <v>5399336805.55556+0.0001i</v>
      </c>
      <c r="EC33" s="1" t="str">
        <f t="shared" si="1"/>
        <v>0.010799001+7.127125i</v>
      </c>
      <c r="ED33" s="1" t="str">
        <f t="shared" si="9"/>
        <v>58307443.561819+38481748330.2952i</v>
      </c>
      <c r="EE33" s="1" t="str">
        <f t="shared" si="10"/>
        <v>5399336805.56636+7.127225i</v>
      </c>
      <c r="EF33" s="1" t="str">
        <f t="shared" si="13"/>
        <v>0.010799+7.127125i</v>
      </c>
      <c r="EG33" s="1" t="str">
        <f t="shared" si="14"/>
        <v>0.010899+3.036718i</v>
      </c>
      <c r="FN33" s="1">
        <f t="shared" si="5"/>
        <v>6.6</v>
      </c>
      <c r="FO33" s="1">
        <f t="shared" si="6"/>
        <v>3.0367375585856937</v>
      </c>
    </row>
    <row r="34" spans="2:249" ht="18" customHeight="1" x14ac:dyDescent="0.25">
      <c r="B34" s="6"/>
      <c r="C34" s="140" t="s">
        <v>79</v>
      </c>
      <c r="D34" s="140"/>
      <c r="E34" s="140"/>
      <c r="F34" s="140"/>
      <c r="G34" s="140"/>
      <c r="H34" s="140"/>
      <c r="I34" s="140"/>
      <c r="J34" s="140"/>
      <c r="K34" s="140"/>
      <c r="L34" s="140"/>
      <c r="M34" s="140"/>
      <c r="N34" s="140"/>
      <c r="O34" s="140"/>
      <c r="P34" s="140"/>
      <c r="Q34" s="140"/>
      <c r="R34" s="141"/>
      <c r="S34" s="142">
        <v>100</v>
      </c>
      <c r="T34" s="142"/>
      <c r="U34" s="142"/>
      <c r="V34" s="24"/>
      <c r="W34" s="143" t="s">
        <v>80</v>
      </c>
      <c r="X34" s="143"/>
      <c r="Y34" s="143"/>
      <c r="Z34" s="143"/>
      <c r="AA34" s="143"/>
      <c r="AB34" s="143"/>
      <c r="AC34" s="143"/>
      <c r="AD34" s="143"/>
      <c r="AE34" s="143"/>
      <c r="AF34" s="143"/>
      <c r="AG34" s="143"/>
      <c r="AH34" s="143"/>
      <c r="AI34" s="143"/>
      <c r="AJ34" s="144">
        <f>AJ30/(S19*S19)</f>
        <v>1.0798673611111114</v>
      </c>
      <c r="AK34" s="144"/>
      <c r="AL34" s="144"/>
      <c r="AM34" s="24" t="s">
        <v>81</v>
      </c>
      <c r="AN34" s="24"/>
      <c r="AO34" s="24"/>
      <c r="AP34" s="8"/>
      <c r="AR34" s="6"/>
      <c r="CF34" s="8"/>
      <c r="DW34" s="1">
        <f t="shared" si="11"/>
        <v>6.8</v>
      </c>
      <c r="DX34" s="12" t="str">
        <f t="shared" si="12"/>
        <v>0.0001-3.970101i</v>
      </c>
      <c r="DY34" s="13" t="str">
        <f t="shared" si="0"/>
        <v>0.000000001</v>
      </c>
      <c r="DZ34" s="13" t="str">
        <f t="shared" si="7"/>
        <v>0.010799+7.343098i</v>
      </c>
      <c r="EA34" s="14" t="str">
        <f t="shared" si="8"/>
        <v>5399336805.55556+0.0001i</v>
      </c>
      <c r="EC34" s="1" t="str">
        <f t="shared" si="1"/>
        <v>0.010799001+7.343098i</v>
      </c>
      <c r="ED34" s="1" t="str">
        <f t="shared" si="9"/>
        <v>58307443.561797+39647859298.2014i</v>
      </c>
      <c r="EE34" s="1" t="str">
        <f t="shared" si="10"/>
        <v>5399336805.56636+7.343198i</v>
      </c>
      <c r="EF34" s="1" t="str">
        <f t="shared" si="13"/>
        <v>0.010799+7.343098i</v>
      </c>
      <c r="EG34" s="1" t="str">
        <f t="shared" si="14"/>
        <v>0.010899+3.372997i</v>
      </c>
      <c r="FN34" s="1">
        <f t="shared" si="5"/>
        <v>6.8</v>
      </c>
      <c r="FO34" s="1">
        <f t="shared" si="6"/>
        <v>3.3730146086564754</v>
      </c>
    </row>
    <row r="35" spans="2:249" ht="18" customHeight="1" x14ac:dyDescent="0.25">
      <c r="B35" s="6"/>
      <c r="C35" s="24"/>
      <c r="D35" s="24"/>
      <c r="E35" s="24"/>
      <c r="F35" s="24"/>
      <c r="G35" s="24"/>
      <c r="H35" s="24"/>
      <c r="I35" s="24"/>
      <c r="J35" s="24"/>
      <c r="K35" s="24"/>
      <c r="L35" s="24"/>
      <c r="M35" s="24"/>
      <c r="N35" s="24"/>
      <c r="O35" s="24"/>
      <c r="P35" s="24"/>
      <c r="Q35" s="42"/>
      <c r="R35" s="32" t="s">
        <v>82</v>
      </c>
      <c r="S35" s="145">
        <v>1.5</v>
      </c>
      <c r="T35" s="145"/>
      <c r="U35" s="145"/>
      <c r="V35" s="89" t="s">
        <v>83</v>
      </c>
      <c r="W35" s="89"/>
      <c r="X35" s="89"/>
      <c r="Y35" s="89"/>
      <c r="Z35" s="89"/>
      <c r="AA35" s="89"/>
      <c r="AB35" s="89"/>
      <c r="AC35" s="89"/>
      <c r="AD35" s="89"/>
      <c r="AE35" s="89"/>
      <c r="AF35" s="89"/>
      <c r="AG35" s="89"/>
      <c r="AH35" s="89"/>
      <c r="AI35" s="89"/>
      <c r="AJ35" s="78">
        <f>1000*AJ34/(2*3.1415*S20)</f>
        <v>2.8645216221314431</v>
      </c>
      <c r="AK35" s="78"/>
      <c r="AL35" s="78"/>
      <c r="AM35" s="24" t="s">
        <v>84</v>
      </c>
      <c r="AN35" s="24"/>
      <c r="AO35" s="24"/>
      <c r="AP35" s="8"/>
      <c r="AR35" s="6"/>
      <c r="CF35" s="8"/>
      <c r="DW35" s="1">
        <f t="shared" si="11"/>
        <v>7</v>
      </c>
      <c r="DX35" s="12" t="str">
        <f t="shared" si="12"/>
        <v>0.0001-3.856669i</v>
      </c>
      <c r="DY35" s="13" t="str">
        <f t="shared" si="0"/>
        <v>0.000000001</v>
      </c>
      <c r="DZ35" s="13" t="str">
        <f t="shared" si="7"/>
        <v>0.010799+7.559072i</v>
      </c>
      <c r="EA35" s="14" t="str">
        <f t="shared" si="8"/>
        <v>5399336805.55556+0.0001i</v>
      </c>
      <c r="EC35" s="1" t="str">
        <f t="shared" si="1"/>
        <v>0.010799001+7.559072i</v>
      </c>
      <c r="ED35" s="1" t="str">
        <f t="shared" si="9"/>
        <v>58307443.561775+40813975665.4445i</v>
      </c>
      <c r="EE35" s="1" t="str">
        <f t="shared" si="10"/>
        <v>5399336805.56636+7.559172i</v>
      </c>
      <c r="EF35" s="1" t="str">
        <f t="shared" si="13"/>
        <v>0.010799+7.559072i</v>
      </c>
      <c r="EG35" s="1" t="str">
        <f t="shared" si="14"/>
        <v>0.010899+3.702403i</v>
      </c>
      <c r="FN35" s="1">
        <f t="shared" si="5"/>
        <v>7</v>
      </c>
      <c r="FO35" s="1">
        <f t="shared" si="6"/>
        <v>3.7024190420061855</v>
      </c>
      <c r="HC35" s="81" t="s">
        <v>85</v>
      </c>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row>
    <row r="36" spans="2:249" ht="18" customHeight="1" x14ac:dyDescent="0.25">
      <c r="B36" s="6"/>
      <c r="C36" s="24"/>
      <c r="D36" s="24"/>
      <c r="E36" s="24"/>
      <c r="F36" s="24"/>
      <c r="G36" s="24"/>
      <c r="H36" s="24"/>
      <c r="I36" s="24"/>
      <c r="J36" s="24"/>
      <c r="K36" s="24"/>
      <c r="L36" s="24"/>
      <c r="M36" s="24"/>
      <c r="N36" s="24"/>
      <c r="O36" s="24"/>
      <c r="P36" s="24"/>
      <c r="Q36" s="24"/>
      <c r="R36" s="32" t="s">
        <v>86</v>
      </c>
      <c r="S36" s="108">
        <v>1.5</v>
      </c>
      <c r="T36" s="108"/>
      <c r="U36" s="108"/>
      <c r="V36" s="24"/>
      <c r="W36" s="24"/>
      <c r="X36" s="24"/>
      <c r="Y36" s="24"/>
      <c r="Z36" s="24"/>
      <c r="AA36" s="24"/>
      <c r="AB36" s="24"/>
      <c r="AC36" s="24"/>
      <c r="AD36" s="24"/>
      <c r="AE36" s="24"/>
      <c r="AF36" s="24"/>
      <c r="AG36" s="24"/>
      <c r="AH36" s="24"/>
      <c r="AI36" s="24"/>
      <c r="AJ36" s="24"/>
      <c r="AK36" s="24"/>
      <c r="AL36" s="24"/>
      <c r="AM36" s="24"/>
      <c r="AN36" s="24"/>
      <c r="AO36" s="24"/>
      <c r="AP36" s="8"/>
      <c r="AR36" s="6"/>
      <c r="CF36" s="8"/>
      <c r="DW36" s="1">
        <f t="shared" si="11"/>
        <v>7.2</v>
      </c>
      <c r="DX36" s="12" t="str">
        <f t="shared" si="12"/>
        <v>0.0001-3.749539i</v>
      </c>
      <c r="DY36" s="13" t="str">
        <f t="shared" si="0"/>
        <v>0.000000001</v>
      </c>
      <c r="DZ36" s="13" t="str">
        <f t="shared" si="7"/>
        <v>0.010799+7.775045i</v>
      </c>
      <c r="EA36" s="14" t="str">
        <f t="shared" si="8"/>
        <v>5399336805.55556+0.0001i</v>
      </c>
      <c r="EC36" s="1" t="str">
        <f t="shared" si="1"/>
        <v>0.010799001+7.775045i</v>
      </c>
      <c r="ED36" s="1" t="str">
        <f t="shared" si="9"/>
        <v>58307443.561754+41980086633.3507i</v>
      </c>
      <c r="EE36" s="1" t="str">
        <f t="shared" si="10"/>
        <v>5399336805.56636+7.775145i</v>
      </c>
      <c r="EF36" s="1" t="str">
        <f t="shared" si="13"/>
        <v>0.010799+7.775045i</v>
      </c>
      <c r="EG36" s="1" t="str">
        <f t="shared" si="14"/>
        <v>0.010899+4.025506i</v>
      </c>
      <c r="FN36" s="1">
        <f t="shared" si="5"/>
        <v>7.2</v>
      </c>
      <c r="FO36" s="1">
        <f t="shared" si="6"/>
        <v>4.0255207544163776</v>
      </c>
      <c r="HC36" s="24"/>
      <c r="HD36" s="24"/>
      <c r="HE36" s="24"/>
      <c r="HF36" s="24"/>
      <c r="HG36" s="24"/>
      <c r="HH36" s="24"/>
      <c r="HI36" s="24"/>
      <c r="HJ36" s="24"/>
      <c r="HK36" s="24"/>
      <c r="HL36" s="24"/>
      <c r="HM36" s="24"/>
      <c r="HN36" s="24"/>
      <c r="HO36" s="24"/>
      <c r="HP36" s="24"/>
      <c r="HQ36" s="24"/>
      <c r="HR36" s="32" t="s">
        <v>87</v>
      </c>
      <c r="HS36" s="137">
        <f>1.5*IJ38</f>
        <v>5.685997445682965E-7</v>
      </c>
      <c r="HT36" s="138"/>
      <c r="HU36" s="139"/>
      <c r="HV36" s="33" t="s">
        <v>88</v>
      </c>
      <c r="HW36" s="24"/>
      <c r="HX36" s="24"/>
      <c r="HY36" s="24"/>
      <c r="HZ36" s="24"/>
      <c r="IA36" s="24"/>
      <c r="IB36" s="24"/>
      <c r="IC36" s="24"/>
      <c r="ID36" s="24"/>
      <c r="IE36" s="24"/>
      <c r="IF36" s="24"/>
      <c r="IG36" s="24"/>
      <c r="IH36" s="24"/>
      <c r="II36" s="24"/>
      <c r="IJ36" s="24"/>
      <c r="IK36" s="24"/>
      <c r="IL36" s="24"/>
      <c r="IM36" s="24"/>
      <c r="IN36" s="24"/>
      <c r="IO36" s="24"/>
    </row>
    <row r="37" spans="2:249" ht="18" customHeight="1" x14ac:dyDescent="0.35">
      <c r="B37" s="6"/>
      <c r="AI37" s="29"/>
      <c r="AJ37" s="29"/>
      <c r="AK37" s="29"/>
      <c r="AL37" s="29"/>
      <c r="AP37" s="8"/>
      <c r="AR37" s="6"/>
      <c r="CF37" s="8"/>
      <c r="DW37" s="1">
        <f t="shared" si="11"/>
        <v>7.4</v>
      </c>
      <c r="DX37" s="12" t="str">
        <f t="shared" si="12"/>
        <v>0.0001-3.648201i</v>
      </c>
      <c r="DY37" s="13" t="str">
        <f t="shared" si="0"/>
        <v>0.000000001</v>
      </c>
      <c r="DZ37" s="13" t="str">
        <f t="shared" si="7"/>
        <v>0.010799+7.991018i</v>
      </c>
      <c r="EA37" s="14" t="str">
        <f t="shared" si="8"/>
        <v>5399336805.55556+0.0001i</v>
      </c>
      <c r="EC37" s="1" t="str">
        <f t="shared" si="1"/>
        <v>0.010799001+7.991018i</v>
      </c>
      <c r="ED37" s="1" t="str">
        <f t="shared" si="9"/>
        <v>58307443.561732+43146197601.257i</v>
      </c>
      <c r="EE37" s="1" t="str">
        <f t="shared" si="10"/>
        <v>5399336805.56636+7.991118i</v>
      </c>
      <c r="EF37" s="1" t="str">
        <f t="shared" si="13"/>
        <v>0.010799+7.991018i</v>
      </c>
      <c r="EG37" s="1" t="str">
        <f t="shared" si="14"/>
        <v>0.010899+4.342817i</v>
      </c>
      <c r="FN37" s="1">
        <f t="shared" si="5"/>
        <v>7.4</v>
      </c>
      <c r="FO37" s="1">
        <f t="shared" si="6"/>
        <v>4.342830676378024</v>
      </c>
      <c r="HC37" s="24"/>
      <c r="HD37" s="24"/>
      <c r="HE37" s="24"/>
      <c r="HF37" s="24"/>
      <c r="HG37" s="24"/>
      <c r="HH37" s="24"/>
      <c r="HI37" s="24"/>
      <c r="HJ37" s="24"/>
      <c r="HK37" s="24"/>
      <c r="HL37" s="24"/>
      <c r="HM37" s="24"/>
      <c r="HN37" s="35" t="s">
        <v>89</v>
      </c>
      <c r="HO37" s="85">
        <f>SQRT(IJ38*1000/IJ37)</f>
        <v>2.649643780001664E-7</v>
      </c>
      <c r="HP37" s="85"/>
      <c r="HQ37" s="85"/>
      <c r="HR37" s="24" t="s">
        <v>49</v>
      </c>
      <c r="HS37" s="24"/>
      <c r="HT37" s="24"/>
      <c r="HU37" s="24"/>
      <c r="HV37" s="24"/>
      <c r="HW37" s="24"/>
      <c r="HX37" s="24"/>
      <c r="HY37" s="24"/>
      <c r="HZ37" s="24"/>
      <c r="IA37" s="24"/>
      <c r="IB37" s="24"/>
      <c r="IC37" s="24"/>
      <c r="ID37" s="24"/>
      <c r="IE37" s="24"/>
      <c r="IF37" s="24"/>
      <c r="IG37" s="24"/>
      <c r="IH37" s="24"/>
      <c r="II37" s="32" t="s">
        <v>90</v>
      </c>
      <c r="IJ37" s="78">
        <f>GY16*AJ34*S19</f>
        <v>5399336805.5555573</v>
      </c>
      <c r="IK37" s="78"/>
      <c r="IL37" s="78"/>
      <c r="IM37" s="24" t="s">
        <v>44</v>
      </c>
      <c r="IN37" s="24"/>
      <c r="IO37" s="24"/>
    </row>
    <row r="38" spans="2:249" ht="18" customHeight="1" x14ac:dyDescent="0.35">
      <c r="B38" s="6"/>
      <c r="AP38" s="8"/>
      <c r="AR38" s="6"/>
      <c r="CF38" s="8"/>
      <c r="DW38" s="1">
        <f t="shared" si="11"/>
        <v>7.6</v>
      </c>
      <c r="DX38" s="12" t="str">
        <f t="shared" si="12"/>
        <v>0.0001-3.552195i</v>
      </c>
      <c r="DY38" s="13" t="str">
        <f t="shared" si="0"/>
        <v>0.000000001</v>
      </c>
      <c r="DZ38" s="13" t="str">
        <f t="shared" si="7"/>
        <v>0.010799+8.206992i</v>
      </c>
      <c r="EA38" s="14" t="str">
        <f t="shared" si="8"/>
        <v>5399336805.55556+0.0001i</v>
      </c>
      <c r="EC38" s="1" t="str">
        <f t="shared" si="1"/>
        <v>0.010799001+8.206992i</v>
      </c>
      <c r="ED38" s="1" t="str">
        <f t="shared" si="9"/>
        <v>58307443.561711+44312313968.5i</v>
      </c>
      <c r="EE38" s="1" t="str">
        <f t="shared" si="10"/>
        <v>5399336805.56636+8.207092i</v>
      </c>
      <c r="EF38" s="1" t="str">
        <f t="shared" si="13"/>
        <v>0.010799+8.206992i</v>
      </c>
      <c r="EG38" s="1" t="str">
        <f t="shared" si="14"/>
        <v>0.010899+4.654797i</v>
      </c>
      <c r="FN38" s="1">
        <f t="shared" si="5"/>
        <v>7.6</v>
      </c>
      <c r="FO38" s="1">
        <f t="shared" si="6"/>
        <v>4.6548097597442162</v>
      </c>
      <c r="HN38" s="35" t="s">
        <v>91</v>
      </c>
      <c r="HO38" s="78">
        <f>SQRT((HS36*1000)/IJ37)</f>
        <v>3.2451376305716618E-7</v>
      </c>
      <c r="HP38" s="78"/>
      <c r="HQ38" s="78"/>
      <c r="HR38" s="24" t="s">
        <v>49</v>
      </c>
      <c r="HS38" s="24"/>
      <c r="HT38" s="24"/>
      <c r="HU38" s="24"/>
      <c r="HV38" s="24"/>
      <c r="HW38" s="24"/>
      <c r="HX38" s="24"/>
      <c r="HY38" s="24"/>
      <c r="HZ38" s="24"/>
      <c r="IA38" s="24"/>
      <c r="IB38" s="24"/>
      <c r="IC38" s="24"/>
      <c r="ID38" s="24"/>
      <c r="IE38" s="24"/>
      <c r="IF38" s="24"/>
      <c r="IG38" s="24"/>
      <c r="IH38" s="24"/>
      <c r="II38" s="32" t="s">
        <v>92</v>
      </c>
      <c r="IJ38" s="78">
        <f>(SUM(EA279:EP279))/1000</f>
        <v>3.7906649637886435E-7</v>
      </c>
      <c r="IK38" s="78"/>
      <c r="IL38" s="78"/>
      <c r="IM38" s="24" t="s">
        <v>88</v>
      </c>
      <c r="IN38" s="24"/>
      <c r="IO38" s="24"/>
    </row>
    <row r="39" spans="2:249" ht="18" customHeight="1" x14ac:dyDescent="0.25">
      <c r="B39" s="6"/>
      <c r="AP39" s="8"/>
      <c r="AR39" s="6"/>
      <c r="CF39" s="8"/>
      <c r="DW39" s="1">
        <f t="shared" si="11"/>
        <v>7.8</v>
      </c>
      <c r="DX39" s="12" t="str">
        <f t="shared" si="12"/>
        <v>0.0001-3.461113i</v>
      </c>
      <c r="DY39" s="13" t="str">
        <f t="shared" si="0"/>
        <v>0.000000001</v>
      </c>
      <c r="DZ39" s="13" t="str">
        <f t="shared" si="7"/>
        <v>0.010799+8.422965i</v>
      </c>
      <c r="EA39" s="14" t="str">
        <f t="shared" si="8"/>
        <v>5399336805.55556+0.0001i</v>
      </c>
      <c r="EC39" s="1" t="str">
        <f t="shared" si="1"/>
        <v>0.010799001+8.422965i</v>
      </c>
      <c r="ED39" s="1" t="str">
        <f t="shared" si="9"/>
        <v>58307443.561689+45478424936.4063i</v>
      </c>
      <c r="EE39" s="1" t="str">
        <f t="shared" si="10"/>
        <v>5399336805.56636+8.423065i</v>
      </c>
      <c r="EF39" s="1" t="str">
        <f t="shared" si="13"/>
        <v>0.010799+8.422965i</v>
      </c>
      <c r="EG39" s="1" t="str">
        <f t="shared" si="14"/>
        <v>0.010899+4.961852i</v>
      </c>
      <c r="FN39" s="1">
        <f t="shared" si="5"/>
        <v>7.8</v>
      </c>
      <c r="FO39" s="1">
        <f t="shared" si="6"/>
        <v>4.9618639701330993</v>
      </c>
    </row>
    <row r="40" spans="2:249" ht="18" customHeight="1" x14ac:dyDescent="0.25">
      <c r="B40" s="6"/>
      <c r="AP40" s="8"/>
      <c r="AR40" s="6"/>
      <c r="CF40" s="8"/>
      <c r="DW40" s="1">
        <f t="shared" si="11"/>
        <v>8</v>
      </c>
      <c r="DX40" s="12" t="str">
        <f t="shared" si="12"/>
        <v>0.0001-3.374586i</v>
      </c>
      <c r="DY40" s="13" t="str">
        <f t="shared" si="0"/>
        <v>0.000000001</v>
      </c>
      <c r="DZ40" s="13" t="str">
        <f t="shared" si="7"/>
        <v>0.010799+8.638939i</v>
      </c>
      <c r="EA40" s="14" t="str">
        <f t="shared" si="8"/>
        <v>5399336805.55556+0.0001i</v>
      </c>
      <c r="EC40" s="1" t="str">
        <f t="shared" si="1"/>
        <v>0.010799001+8.638939i</v>
      </c>
      <c r="ED40" s="1" t="str">
        <f t="shared" si="9"/>
        <v>58307443.561667+46644541303.6493i</v>
      </c>
      <c r="EE40" s="1" t="str">
        <f t="shared" si="10"/>
        <v>5399336805.56636+8.639039i</v>
      </c>
      <c r="EF40" s="1" t="str">
        <f t="shared" si="13"/>
        <v>0.010799+8.638939i</v>
      </c>
      <c r="EG40" s="1" t="str">
        <f t="shared" si="14"/>
        <v>0.010899+5.264353i</v>
      </c>
      <c r="FN40" s="1">
        <f t="shared" si="5"/>
        <v>8</v>
      </c>
      <c r="FO40" s="1">
        <f t="shared" si="6"/>
        <v>5.26436428230513</v>
      </c>
      <c r="II40" s="86" t="s">
        <v>93</v>
      </c>
      <c r="IJ40" s="86"/>
      <c r="IK40" s="86"/>
      <c r="IL40" s="86"/>
      <c r="IM40" s="86"/>
    </row>
    <row r="41" spans="2:249" ht="18" customHeight="1" x14ac:dyDescent="0.25">
      <c r="B41" s="6"/>
      <c r="AP41" s="8"/>
      <c r="AR41" s="6"/>
      <c r="CF41" s="8"/>
      <c r="DW41" s="1">
        <f t="shared" si="11"/>
        <v>8.1999999999999993</v>
      </c>
      <c r="DX41" s="12" t="str">
        <f t="shared" si="12"/>
        <v>0.0001-3.292279i</v>
      </c>
      <c r="DY41" s="13" t="str">
        <f t="shared" si="0"/>
        <v>0.000000001</v>
      </c>
      <c r="DZ41" s="13" t="str">
        <f t="shared" si="7"/>
        <v>0.010799+8.854912i</v>
      </c>
      <c r="EA41" s="14" t="str">
        <f t="shared" si="8"/>
        <v>5399336805.55556+0.0001i</v>
      </c>
      <c r="EC41" s="1" t="str">
        <f t="shared" si="1"/>
        <v>0.010799001+8.854912i</v>
      </c>
      <c r="ED41" s="1" t="str">
        <f t="shared" si="9"/>
        <v>58307443.561646+47810652271.5556i</v>
      </c>
      <c r="EE41" s="1" t="str">
        <f t="shared" si="10"/>
        <v>5399336805.56636+8.855012i</v>
      </c>
      <c r="EF41" s="1" t="str">
        <f t="shared" si="13"/>
        <v>0.010799+8.854912i</v>
      </c>
      <c r="EG41" s="1" t="str">
        <f t="shared" si="14"/>
        <v>0.010899+5.562633i</v>
      </c>
      <c r="FN41" s="1">
        <f t="shared" si="5"/>
        <v>8.1999999999999993</v>
      </c>
      <c r="FO41" s="1">
        <f t="shared" si="6"/>
        <v>5.562643677325557</v>
      </c>
      <c r="II41" s="87"/>
      <c r="IJ41" s="87"/>
      <c r="IK41" s="87"/>
      <c r="IL41" s="87"/>
      <c r="IM41" s="87"/>
    </row>
    <row r="42" spans="2:249" ht="18" customHeight="1" x14ac:dyDescent="0.25">
      <c r="B42" s="6"/>
      <c r="AP42" s="8"/>
      <c r="AR42" s="6"/>
      <c r="CF42" s="8"/>
      <c r="DX42" s="12"/>
      <c r="DY42" s="13"/>
      <c r="DZ42" s="13"/>
      <c r="EA42" s="14"/>
      <c r="FN42" s="1">
        <f>DW44</f>
        <v>8.4</v>
      </c>
      <c r="FO42" s="1">
        <f>IMABS(EG44)</f>
        <v>5.8570051407033956</v>
      </c>
      <c r="II42" s="77">
        <f>EA278</f>
        <v>5.5624829069535666E-8</v>
      </c>
      <c r="IJ42" s="77"/>
      <c r="IK42" s="77"/>
      <c r="IL42" s="77"/>
      <c r="IM42" s="77"/>
    </row>
    <row r="43" spans="2:249" ht="18" customHeight="1" x14ac:dyDescent="0.25">
      <c r="B43" s="6"/>
      <c r="AP43" s="8"/>
      <c r="AR43" s="6"/>
      <c r="CF43" s="8"/>
      <c r="DX43" s="12"/>
      <c r="DY43" s="13"/>
      <c r="DZ43" s="13"/>
      <c r="EA43" s="14"/>
      <c r="FN43" s="1">
        <f>DW45</f>
        <v>8.6</v>
      </c>
      <c r="FO43" s="1">
        <f>IMABS(EG45)</f>
        <v>6.1477196611671383</v>
      </c>
      <c r="II43" s="78">
        <f>EB278</f>
        <v>0</v>
      </c>
      <c r="IJ43" s="78"/>
      <c r="IK43" s="78"/>
      <c r="IL43" s="78"/>
      <c r="IM43" s="78"/>
    </row>
    <row r="44" spans="2:249" ht="18" customHeight="1" x14ac:dyDescent="0.25">
      <c r="B44" s="28"/>
      <c r="AP44" s="43"/>
      <c r="AR44" s="6"/>
      <c r="CF44" s="8"/>
      <c r="DW44" s="1">
        <f>ROUND(DW41+0.2,1)</f>
        <v>8.4</v>
      </c>
      <c r="DX44" s="12" t="str">
        <f t="shared" si="12"/>
        <v>0.0001-3.213891i</v>
      </c>
      <c r="DY44" s="13" t="str">
        <f>COMPLEX(0.000000001,-1*$CL$25/DW44)</f>
        <v>0.000000001</v>
      </c>
      <c r="DZ44" s="13" t="str">
        <f t="shared" si="7"/>
        <v>0.010799+9.070886i</v>
      </c>
      <c r="EA44" s="14" t="str">
        <f t="shared" si="8"/>
        <v>5399336805.55556+0.0001i</v>
      </c>
      <c r="EC44" s="1" t="str">
        <f>IMSUM(DZ44,DY44)</f>
        <v>0.010799001+9.070886i</v>
      </c>
      <c r="ED44" s="1" t="str">
        <f t="shared" si="9"/>
        <v>58307443.561624+48976768638.7987i</v>
      </c>
      <c r="EE44" s="1" t="str">
        <f t="shared" si="10"/>
        <v>5399336805.56636+9.070986i</v>
      </c>
      <c r="EF44" s="1" t="str">
        <f t="shared" si="13"/>
        <v>0.010799+9.070886i</v>
      </c>
      <c r="EG44" s="1" t="str">
        <f t="shared" si="14"/>
        <v>0.010899+5.856995i</v>
      </c>
      <c r="FN44" s="1">
        <f>DW46</f>
        <v>8.8000000000000007</v>
      </c>
      <c r="FO44" s="1">
        <f>IMABS(EG46)</f>
        <v>6.4350372298056673</v>
      </c>
      <c r="II44" s="78">
        <f>EC278</f>
        <v>0</v>
      </c>
      <c r="IJ44" s="78"/>
      <c r="IK44" s="78"/>
      <c r="IL44" s="78"/>
      <c r="IM44" s="78"/>
    </row>
    <row r="45" spans="2:249" ht="18" customHeight="1" x14ac:dyDescent="0.25">
      <c r="B45" s="28"/>
      <c r="AP45" s="43"/>
      <c r="AR45" s="6"/>
      <c r="CF45" s="8"/>
      <c r="DW45" s="1">
        <f>ROUND(DW44+0.2,1)</f>
        <v>8.6</v>
      </c>
      <c r="DX45" s="12" t="str">
        <f t="shared" si="12"/>
        <v>0.0001-3.139149i</v>
      </c>
      <c r="DY45" s="13" t="str">
        <f>COMPLEX(0.000000001,-1*$CL$25/DW45)</f>
        <v>0.000000001</v>
      </c>
      <c r="DZ45" s="13" t="str">
        <f t="shared" si="7"/>
        <v>0.010799+9.286859i</v>
      </c>
      <c r="EA45" s="14" t="str">
        <f t="shared" si="8"/>
        <v>5399336805.55556+0.0001i</v>
      </c>
      <c r="EC45" s="1" t="str">
        <f>IMSUM(DZ45,DY45)</f>
        <v>0.010799001+9.286859i</v>
      </c>
      <c r="ED45" s="1" t="str">
        <f t="shared" si="9"/>
        <v>58307443.561603+50142879606.7049i</v>
      </c>
      <c r="EE45" s="1" t="str">
        <f t="shared" si="10"/>
        <v>5399336805.56636+9.286959i</v>
      </c>
      <c r="EF45" s="1" t="str">
        <f t="shared" si="13"/>
        <v>0.010799+9.286859i</v>
      </c>
      <c r="EG45" s="1" t="str">
        <f t="shared" si="14"/>
        <v>0.010899+6.14771i</v>
      </c>
      <c r="FN45" s="1">
        <f t="shared" ref="FN45:FN108" si="15">DW48</f>
        <v>9</v>
      </c>
      <c r="FO45" s="1">
        <f t="shared" ref="FO45:FO108" si="16">IMABS(EG48)</f>
        <v>6.7191828394885187</v>
      </c>
      <c r="II45" s="78">
        <f>ED278</f>
        <v>0</v>
      </c>
      <c r="IJ45" s="78"/>
      <c r="IK45" s="78"/>
      <c r="IL45" s="78"/>
      <c r="IM45" s="78"/>
    </row>
    <row r="46" spans="2:249" ht="18" customHeight="1" x14ac:dyDescent="0.25">
      <c r="B46" s="6"/>
      <c r="AP46" s="43"/>
      <c r="AR46" s="6"/>
      <c r="CF46" s="8"/>
      <c r="DW46" s="1">
        <f>ROUND(DW45+0.2,1)</f>
        <v>8.8000000000000007</v>
      </c>
      <c r="DX46" s="12" t="str">
        <f t="shared" si="12"/>
        <v>0.0001-3.067805i</v>
      </c>
      <c r="DY46" s="13" t="str">
        <f>COMPLEX(0.000000001,-1*$CL$25/DW46)</f>
        <v>0.000000001</v>
      </c>
      <c r="DZ46" s="13" t="str">
        <f t="shared" si="7"/>
        <v>0.010799+9.502833i</v>
      </c>
      <c r="EA46" s="14" t="str">
        <f t="shared" si="8"/>
        <v>5399336805.55556+0.0001i</v>
      </c>
      <c r="EC46" s="1" t="str">
        <f>IMSUM(DZ46,DY46)</f>
        <v>0.010799001+9.502833i</v>
      </c>
      <c r="ED46" s="1" t="str">
        <f t="shared" si="9"/>
        <v>58307443.561581+51308995973.948i</v>
      </c>
      <c r="EE46" s="1" t="str">
        <f t="shared" si="10"/>
        <v>5399336805.56636+9.502933i</v>
      </c>
      <c r="EF46" s="1" t="str">
        <f t="shared" si="13"/>
        <v>0.010799+9.502833i</v>
      </c>
      <c r="EG46" s="1" t="str">
        <f t="shared" si="14"/>
        <v>0.010899+6.435028i</v>
      </c>
      <c r="FN46" s="1">
        <f t="shared" si="15"/>
        <v>9.1999999999999993</v>
      </c>
      <c r="FO46" s="1">
        <f t="shared" si="16"/>
        <v>7.0003664844324405</v>
      </c>
      <c r="II46" s="78">
        <f>EE278</f>
        <v>9.9999999999999982E-8</v>
      </c>
      <c r="IJ46" s="78"/>
      <c r="IK46" s="78"/>
      <c r="IL46" s="78"/>
      <c r="IM46" s="78"/>
    </row>
    <row r="47" spans="2:249" ht="18" customHeight="1" thickBot="1" x14ac:dyDescent="0.3">
      <c r="B47" s="6"/>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1"/>
      <c r="AO47" s="11"/>
      <c r="AP47" s="8"/>
      <c r="AR47" s="6"/>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1"/>
      <c r="CE47" s="10"/>
      <c r="CF47" s="8"/>
      <c r="DX47" s="12"/>
      <c r="DY47" s="13"/>
      <c r="DZ47" s="13"/>
      <c r="EA47" s="14"/>
      <c r="FN47" s="1">
        <f t="shared" si="15"/>
        <v>9.4</v>
      </c>
      <c r="FO47" s="1">
        <f t="shared" si="16"/>
        <v>7.2787731599099867</v>
      </c>
      <c r="II47" s="78">
        <f>EF278</f>
        <v>1.1199999999999998E-7</v>
      </c>
      <c r="IJ47" s="78"/>
      <c r="IK47" s="78"/>
      <c r="IL47" s="78"/>
      <c r="IM47" s="78"/>
    </row>
    <row r="48" spans="2:249" ht="18" customHeight="1" x14ac:dyDescent="0.25">
      <c r="B48" s="6"/>
      <c r="D48" s="44" t="s">
        <v>94</v>
      </c>
      <c r="AO48" s="45" t="s">
        <v>333</v>
      </c>
      <c r="AP48" s="8"/>
      <c r="AR48" s="6"/>
      <c r="AT48" s="44" t="s">
        <v>94</v>
      </c>
      <c r="CE48" s="29" t="s">
        <v>96</v>
      </c>
      <c r="CF48" s="8"/>
      <c r="DW48" s="1">
        <f>ROUND(DW46+0.2,1)</f>
        <v>9</v>
      </c>
      <c r="DX48" s="12" t="str">
        <f t="shared" si="12"/>
        <v>0.0001-2.999632i</v>
      </c>
      <c r="DY48" s="13" t="str">
        <f t="shared" ref="DY48:DY111" si="17">COMPLEX(0.000000001,-1*$CL$25/DW48)</f>
        <v>0.000000001</v>
      </c>
      <c r="DZ48" s="13" t="str">
        <f t="shared" si="7"/>
        <v>0.010799+9.718806i</v>
      </c>
      <c r="EA48" s="14" t="str">
        <f t="shared" si="8"/>
        <v>5399336805.55556+0.0001i</v>
      </c>
      <c r="EC48" s="1" t="str">
        <f t="shared" ref="EC48:EC111" si="18">IMSUM(DZ48,DY48)</f>
        <v>0.010799001+9.718806i</v>
      </c>
      <c r="ED48" s="1" t="str">
        <f t="shared" si="9"/>
        <v>58307443.561559+52475106941.8542i</v>
      </c>
      <c r="EE48" s="1" t="str">
        <f t="shared" si="10"/>
        <v>5399336805.56636+9.718906i</v>
      </c>
      <c r="EF48" s="1" t="str">
        <f t="shared" si="13"/>
        <v>0.010799+9.718806i</v>
      </c>
      <c r="EG48" s="1" t="str">
        <f t="shared" si="14"/>
        <v>0.010899+6.719174i</v>
      </c>
      <c r="FN48" s="1">
        <f t="shared" si="15"/>
        <v>9.6</v>
      </c>
      <c r="FO48" s="1">
        <f t="shared" si="16"/>
        <v>7.5545798620032478</v>
      </c>
      <c r="II48" s="78">
        <f>EG278</f>
        <v>1.3200000000000002E-7</v>
      </c>
      <c r="IJ48" s="78"/>
      <c r="IK48" s="78"/>
      <c r="IL48" s="78"/>
      <c r="IM48" s="78"/>
    </row>
    <row r="49" spans="2:247" ht="18" customHeight="1" x14ac:dyDescent="0.25">
      <c r="B49" s="46"/>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8"/>
      <c r="AR49" s="46"/>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8"/>
      <c r="DW49" s="1">
        <f>ROUND(DW48+0.2,1)</f>
        <v>9.1999999999999993</v>
      </c>
      <c r="DX49" s="12" t="str">
        <f t="shared" si="12"/>
        <v>0.0001-2.934422i</v>
      </c>
      <c r="DY49" s="13" t="str">
        <f t="shared" si="17"/>
        <v>0.000000001</v>
      </c>
      <c r="DZ49" s="13" t="str">
        <f t="shared" si="7"/>
        <v>0.010799+9.93478i</v>
      </c>
      <c r="EA49" s="14" t="str">
        <f t="shared" si="8"/>
        <v>5399336805.55556+0.0001i</v>
      </c>
      <c r="EC49" s="1" t="str">
        <f t="shared" si="18"/>
        <v>0.010799001+9.93478i</v>
      </c>
      <c r="ED49" s="1" t="str">
        <f t="shared" si="9"/>
        <v>58307443.561538+53641223309.0973i</v>
      </c>
      <c r="EE49" s="1" t="str">
        <f t="shared" si="10"/>
        <v>5399336805.56636+9.93488i</v>
      </c>
      <c r="EF49" s="1" t="str">
        <f t="shared" si="13"/>
        <v>0.010799+9.93478i</v>
      </c>
      <c r="EG49" s="1" t="str">
        <f t="shared" si="14"/>
        <v>0.010899+7.000358i</v>
      </c>
      <c r="FN49" s="1">
        <f t="shared" si="15"/>
        <v>9.8000000000000007</v>
      </c>
      <c r="FO49" s="1">
        <f t="shared" si="16"/>
        <v>7.8279435874498358</v>
      </c>
      <c r="II49" s="78">
        <f>EH278</f>
        <v>7.7999999999999997E-8</v>
      </c>
      <c r="IJ49" s="78"/>
      <c r="IK49" s="78"/>
      <c r="IL49" s="78"/>
      <c r="IM49" s="78"/>
    </row>
    <row r="50" spans="2:247" ht="18" customHeight="1" x14ac:dyDescent="0.25">
      <c r="DW50" s="1">
        <f t="shared" ref="DW50:DW113" si="19">ROUND(DW49+0.2,1)</f>
        <v>9.4</v>
      </c>
      <c r="DX50" s="12" t="str">
        <f t="shared" si="12"/>
        <v>0.0001-2.871988i</v>
      </c>
      <c r="DY50" s="13" t="str">
        <f t="shared" si="17"/>
        <v>0.000000001</v>
      </c>
      <c r="DZ50" s="13" t="str">
        <f t="shared" si="7"/>
        <v>0.010799+10.150753i</v>
      </c>
      <c r="EA50" s="14" t="str">
        <f t="shared" si="8"/>
        <v>5399336805.55556+0.0001i</v>
      </c>
      <c r="EC50" s="1" t="str">
        <f t="shared" si="18"/>
        <v>0.010799001+10.150753i</v>
      </c>
      <c r="ED50" s="1" t="str">
        <f t="shared" si="9"/>
        <v>58307443.561516+54807334277.0035i</v>
      </c>
      <c r="EE50" s="1" t="str">
        <f t="shared" si="10"/>
        <v>5399336805.56636+10.150853i</v>
      </c>
      <c r="EF50" s="1" t="str">
        <f t="shared" si="13"/>
        <v>0.010799+10.150753i</v>
      </c>
      <c r="EG50" s="1" t="str">
        <f t="shared" si="14"/>
        <v>0.010899+7.278765i</v>
      </c>
      <c r="FN50" s="1">
        <f t="shared" si="15"/>
        <v>10</v>
      </c>
      <c r="FO50" s="1">
        <f t="shared" si="16"/>
        <v>8.0990133335016186</v>
      </c>
      <c r="II50" s="78">
        <f>EI278</f>
        <v>6.8E-8</v>
      </c>
      <c r="IJ50" s="78"/>
      <c r="IK50" s="78"/>
      <c r="IL50" s="78"/>
      <c r="IM50" s="78"/>
    </row>
    <row r="51" spans="2:247" ht="18" customHeight="1" x14ac:dyDescent="0.25">
      <c r="B51" s="3"/>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5"/>
      <c r="AR51" s="3"/>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5"/>
      <c r="DW51" s="1">
        <f t="shared" si="19"/>
        <v>9.6</v>
      </c>
      <c r="DX51" s="12" t="str">
        <f t="shared" si="12"/>
        <v>0.0001-2.812155i</v>
      </c>
      <c r="DY51" s="13" t="str">
        <f t="shared" si="17"/>
        <v>0.000000001</v>
      </c>
      <c r="DZ51" s="13" t="str">
        <f t="shared" si="7"/>
        <v>0.010799+10.366727i</v>
      </c>
      <c r="EA51" s="14" t="str">
        <f t="shared" si="8"/>
        <v>5399336805.55556+0.0001i</v>
      </c>
      <c r="EC51" s="1" t="str">
        <f t="shared" si="18"/>
        <v>0.010799001+10.366727i</v>
      </c>
      <c r="ED51" s="1" t="str">
        <f t="shared" si="9"/>
        <v>58307443.561495+55973450644.2466i</v>
      </c>
      <c r="EE51" s="1" t="str">
        <f t="shared" si="10"/>
        <v>5399336805.56636+10.366827i</v>
      </c>
      <c r="EF51" s="1" t="str">
        <f t="shared" si="13"/>
        <v>0.010799+10.366727i</v>
      </c>
      <c r="EG51" s="1" t="str">
        <f t="shared" si="14"/>
        <v>0.010899+7.554572i</v>
      </c>
      <c r="FN51" s="1">
        <f t="shared" si="15"/>
        <v>10.199999999999999</v>
      </c>
      <c r="FO51" s="1">
        <f t="shared" si="16"/>
        <v>8.3679200978361408</v>
      </c>
      <c r="II51" s="78">
        <f>EJ278</f>
        <v>3.7999999999999996E-8</v>
      </c>
      <c r="IJ51" s="78"/>
      <c r="IK51" s="78"/>
      <c r="IL51" s="78"/>
      <c r="IM51" s="78"/>
    </row>
    <row r="52" spans="2:247" ht="18" customHeight="1" x14ac:dyDescent="0.25">
      <c r="B52" s="6"/>
      <c r="AN52" s="7"/>
      <c r="AP52" s="8"/>
      <c r="AR52" s="6"/>
      <c r="CD52" s="7"/>
      <c r="CF52" s="8"/>
      <c r="DW52" s="1">
        <f t="shared" si="19"/>
        <v>9.8000000000000007</v>
      </c>
      <c r="DX52" s="12" t="str">
        <f t="shared" si="12"/>
        <v>0.0001-2.754764i</v>
      </c>
      <c r="DY52" s="13" t="str">
        <f t="shared" si="17"/>
        <v>0.000000001</v>
      </c>
      <c r="DZ52" s="13" t="str">
        <f t="shared" si="7"/>
        <v>0.010799+10.5827i</v>
      </c>
      <c r="EA52" s="14" t="str">
        <f t="shared" si="8"/>
        <v>5399336805.55556+0.0001i</v>
      </c>
      <c r="EC52" s="1" t="str">
        <f t="shared" si="18"/>
        <v>0.010799001+10.5827i</v>
      </c>
      <c r="ED52" s="1" t="str">
        <f t="shared" si="9"/>
        <v>58307443.561473+57139561612.1528i</v>
      </c>
      <c r="EE52" s="1" t="str">
        <f t="shared" si="10"/>
        <v>5399336805.56636+10.5828i</v>
      </c>
      <c r="EF52" s="1" t="str">
        <f t="shared" si="13"/>
        <v>0.010799+10.5827i</v>
      </c>
      <c r="EG52" s="1" t="str">
        <f t="shared" si="14"/>
        <v>0.010899+7.827936i</v>
      </c>
      <c r="FN52" s="1">
        <f t="shared" si="15"/>
        <v>10.4</v>
      </c>
      <c r="FO52" s="1">
        <f t="shared" si="16"/>
        <v>8.6347928784654115</v>
      </c>
      <c r="II52" s="78">
        <f>EK278</f>
        <v>4.5999999999999995E-8</v>
      </c>
      <c r="IJ52" s="78"/>
      <c r="IK52" s="78"/>
      <c r="IL52" s="78"/>
      <c r="IM52" s="78"/>
    </row>
    <row r="53" spans="2:247" ht="18" customHeight="1" x14ac:dyDescent="0.25">
      <c r="B53" s="6"/>
      <c r="AN53" s="9"/>
      <c r="AP53" s="8"/>
      <c r="AR53" s="6"/>
      <c r="CD53" s="9"/>
      <c r="CF53" s="8"/>
      <c r="DW53" s="1">
        <f t="shared" si="19"/>
        <v>10</v>
      </c>
      <c r="DX53" s="12" t="str">
        <f t="shared" si="12"/>
        <v>0.0001-2.699668i</v>
      </c>
      <c r="DY53" s="13" t="str">
        <f t="shared" si="17"/>
        <v>0.000000001</v>
      </c>
      <c r="DZ53" s="13" t="str">
        <f t="shared" si="7"/>
        <v>0.010799+10.798674i</v>
      </c>
      <c r="EA53" s="14" t="str">
        <f t="shared" si="8"/>
        <v>5399336805.55556+0.0001i</v>
      </c>
      <c r="EC53" s="1" t="str">
        <f t="shared" si="18"/>
        <v>0.010799001+10.798674i</v>
      </c>
      <c r="ED53" s="1" t="str">
        <f t="shared" si="9"/>
        <v>58307443.561451+58305677979.3959i</v>
      </c>
      <c r="EE53" s="1" t="str">
        <f t="shared" si="10"/>
        <v>5399336805.56636+10.798774i</v>
      </c>
      <c r="EF53" s="1" t="str">
        <f t="shared" si="13"/>
        <v>0.010799+10.798674i</v>
      </c>
      <c r="EG53" s="1" t="str">
        <f t="shared" si="14"/>
        <v>0.010899+8.099006i</v>
      </c>
      <c r="FN53" s="1">
        <f t="shared" si="15"/>
        <v>10.6</v>
      </c>
      <c r="FO53" s="1">
        <f t="shared" si="16"/>
        <v>8.899743673689148</v>
      </c>
      <c r="II53" s="78">
        <f>EL278</f>
        <v>4.9999999999999998E-8</v>
      </c>
      <c r="IJ53" s="78"/>
      <c r="IK53" s="78"/>
      <c r="IL53" s="78"/>
      <c r="IM53" s="78"/>
    </row>
    <row r="54" spans="2:247" ht="18" customHeight="1" thickBot="1" x14ac:dyDescent="0.3">
      <c r="B54" s="6"/>
      <c r="C54" s="10" t="str">
        <f>H12 &amp; " | " &amp; AE13</f>
        <v>Enter Customer PO #  | Stage 1</v>
      </c>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1"/>
      <c r="AO54" s="10"/>
      <c r="AP54" s="8"/>
      <c r="AR54" s="6"/>
      <c r="AS54" s="134" t="str">
        <f>H12 &amp; " | " &amp; AE13</f>
        <v>Enter Customer PO #  | Stage 1</v>
      </c>
      <c r="AT54" s="134"/>
      <c r="AU54" s="134"/>
      <c r="AV54" s="134"/>
      <c r="AW54" s="134"/>
      <c r="AX54" s="134"/>
      <c r="AY54" s="134"/>
      <c r="AZ54" s="134"/>
      <c r="BA54" s="134"/>
      <c r="BB54" s="134"/>
      <c r="BC54" s="134"/>
      <c r="BD54" s="134"/>
      <c r="BE54" s="134"/>
      <c r="BF54" s="134"/>
      <c r="BG54" s="134"/>
      <c r="BH54" s="10"/>
      <c r="BI54" s="10"/>
      <c r="BJ54" s="10"/>
      <c r="BK54" s="10"/>
      <c r="BL54" s="10"/>
      <c r="BM54" s="10"/>
      <c r="BN54" s="10"/>
      <c r="BO54" s="10"/>
      <c r="BP54" s="10"/>
      <c r="BQ54" s="10"/>
      <c r="BR54" s="10"/>
      <c r="BS54" s="10"/>
      <c r="BT54" s="10"/>
      <c r="BU54" s="10"/>
      <c r="BV54" s="10"/>
      <c r="BW54" s="10"/>
      <c r="BX54" s="10"/>
      <c r="BY54" s="10"/>
      <c r="BZ54" s="10"/>
      <c r="CA54" s="10"/>
      <c r="CB54" s="10"/>
      <c r="CC54" s="10"/>
      <c r="CD54" s="11"/>
      <c r="CE54" s="10"/>
      <c r="CF54" s="8"/>
      <c r="DW54" s="1">
        <f t="shared" si="19"/>
        <v>10.199999999999999</v>
      </c>
      <c r="DX54" s="12" t="str">
        <f t="shared" si="12"/>
        <v>0.0001-2.646734i</v>
      </c>
      <c r="DY54" s="13" t="str">
        <f t="shared" si="17"/>
        <v>0.000000001</v>
      </c>
      <c r="DZ54" s="13" t="str">
        <f t="shared" si="7"/>
        <v>0.010799+11.014647i</v>
      </c>
      <c r="EA54" s="14" t="str">
        <f t="shared" si="8"/>
        <v>5399336805.55556+0.0001i</v>
      </c>
      <c r="EC54" s="1" t="str">
        <f t="shared" si="18"/>
        <v>0.010799001+11.014647i</v>
      </c>
      <c r="ED54" s="1" t="str">
        <f t="shared" si="9"/>
        <v>58307443.56143+59471788947.3021i</v>
      </c>
      <c r="EE54" s="1" t="str">
        <f t="shared" si="10"/>
        <v>5399336805.56636+11.014747i</v>
      </c>
      <c r="EF54" s="1" t="str">
        <f t="shared" si="13"/>
        <v>0.010799+11.014647i</v>
      </c>
      <c r="EG54" s="1" t="str">
        <f t="shared" si="14"/>
        <v>0.010899+8.367913i</v>
      </c>
      <c r="FN54" s="1">
        <f t="shared" si="15"/>
        <v>10.8</v>
      </c>
      <c r="FO54" s="1">
        <f t="shared" si="16"/>
        <v>9.1628814820353313</v>
      </c>
      <c r="II54" s="78">
        <f>EM278</f>
        <v>0</v>
      </c>
      <c r="IJ54" s="78"/>
      <c r="IK54" s="78"/>
      <c r="IL54" s="78"/>
      <c r="IM54" s="78"/>
    </row>
    <row r="55" spans="2:247" ht="18" customHeight="1" x14ac:dyDescent="0.25">
      <c r="B55" s="6"/>
      <c r="AN55" s="9"/>
      <c r="AP55" s="8"/>
      <c r="AR55" s="6"/>
      <c r="CD55" s="9"/>
      <c r="CF55" s="8"/>
      <c r="DW55" s="1">
        <f t="shared" si="19"/>
        <v>10.4</v>
      </c>
      <c r="DX55" s="12" t="str">
        <f t="shared" si="12"/>
        <v>0.0001-2.595835i</v>
      </c>
      <c r="DY55" s="13" t="str">
        <f t="shared" si="17"/>
        <v>0.000000001</v>
      </c>
      <c r="DZ55" s="13" t="str">
        <f t="shared" si="7"/>
        <v>0.010799+11.230621i</v>
      </c>
      <c r="EA55" s="14" t="str">
        <f t="shared" si="8"/>
        <v>5399336805.55556+0.0001i</v>
      </c>
      <c r="EC55" s="1" t="str">
        <f t="shared" si="18"/>
        <v>0.010799001+11.230621i</v>
      </c>
      <c r="ED55" s="1" t="str">
        <f t="shared" si="9"/>
        <v>58307443.561408+60637905314.5452i</v>
      </c>
      <c r="EE55" s="1" t="str">
        <f t="shared" si="10"/>
        <v>5399336805.56636+11.230721i</v>
      </c>
      <c r="EF55" s="1" t="str">
        <f t="shared" si="13"/>
        <v>0.010799+11.230621i</v>
      </c>
      <c r="EG55" s="1" t="str">
        <f t="shared" si="14"/>
        <v>0.010899+8.634786i</v>
      </c>
      <c r="FN55" s="1">
        <f t="shared" si="15"/>
        <v>11</v>
      </c>
      <c r="FO55" s="1">
        <f t="shared" si="16"/>
        <v>9.4243033022292941</v>
      </c>
      <c r="II55" s="78">
        <f>EN278</f>
        <v>0</v>
      </c>
      <c r="IJ55" s="78"/>
      <c r="IK55" s="78"/>
      <c r="IL55" s="78"/>
      <c r="IM55" s="78"/>
    </row>
    <row r="56" spans="2:247" ht="18" customHeight="1" x14ac:dyDescent="0.3">
      <c r="B56" s="6"/>
      <c r="C56" s="81" t="s">
        <v>97</v>
      </c>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
      <c r="AR56" s="6"/>
      <c r="AS56" s="30" t="s">
        <v>98</v>
      </c>
      <c r="CF56" s="8"/>
      <c r="CL56" s="135" t="s">
        <v>99</v>
      </c>
      <c r="CM56" s="135"/>
      <c r="CN56" s="135"/>
      <c r="CO56" s="135" t="s">
        <v>99</v>
      </c>
      <c r="CP56" s="135"/>
      <c r="CQ56" s="135"/>
      <c r="CR56" s="135" t="s">
        <v>100</v>
      </c>
      <c r="CS56" s="135"/>
      <c r="CT56" s="135"/>
      <c r="CU56" s="135"/>
      <c r="CV56" s="135" t="s">
        <v>101</v>
      </c>
      <c r="CW56" s="135"/>
      <c r="CX56" s="135"/>
      <c r="DW56" s="1">
        <f t="shared" si="19"/>
        <v>10.6</v>
      </c>
      <c r="DX56" s="12" t="str">
        <f t="shared" si="12"/>
        <v>0.0001-2.546857i</v>
      </c>
      <c r="DY56" s="13" t="str">
        <f t="shared" si="17"/>
        <v>0.000000001</v>
      </c>
      <c r="DZ56" s="13" t="str">
        <f t="shared" si="7"/>
        <v>0.010799+11.446594i</v>
      </c>
      <c r="EA56" s="14" t="str">
        <f t="shared" si="8"/>
        <v>5399336805.55556+0.0001i</v>
      </c>
      <c r="EC56" s="1" t="str">
        <f t="shared" si="18"/>
        <v>0.010799001+11.446594i</v>
      </c>
      <c r="ED56" s="1" t="str">
        <f t="shared" si="9"/>
        <v>58307443.561387+61804016282.4514i</v>
      </c>
      <c r="EE56" s="1" t="str">
        <f t="shared" si="10"/>
        <v>5399336805.56636+11.446694i</v>
      </c>
      <c r="EF56" s="1" t="str">
        <f t="shared" si="13"/>
        <v>0.010799+11.446594i</v>
      </c>
      <c r="EG56" s="1" t="str">
        <f t="shared" si="14"/>
        <v>0.010899+8.899737i</v>
      </c>
      <c r="FN56" s="1">
        <f t="shared" si="15"/>
        <v>11.2</v>
      </c>
      <c r="FO56" s="1">
        <f t="shared" si="16"/>
        <v>9.6841021331570545</v>
      </c>
      <c r="II56" s="78">
        <f>EO278</f>
        <v>6.9999999999999992E-8</v>
      </c>
      <c r="IJ56" s="78"/>
      <c r="IK56" s="78"/>
      <c r="IL56" s="78"/>
      <c r="IM56" s="78"/>
    </row>
    <row r="57" spans="2:247" ht="18" customHeight="1" x14ac:dyDescent="0.25">
      <c r="B57" s="6"/>
      <c r="C57" s="18"/>
      <c r="D57" s="18"/>
      <c r="E57" s="18"/>
      <c r="F57" s="18"/>
      <c r="G57" s="18"/>
      <c r="H57" s="18"/>
      <c r="I57" s="18"/>
      <c r="J57" s="18"/>
      <c r="K57" s="18"/>
      <c r="L57" s="18"/>
      <c r="M57" s="18"/>
      <c r="N57" s="18"/>
      <c r="O57" s="18"/>
      <c r="P57" s="18"/>
      <c r="Q57" s="18"/>
      <c r="R57" s="18"/>
      <c r="S57" s="18"/>
      <c r="T57" s="18"/>
      <c r="U57" s="86" t="s">
        <v>102</v>
      </c>
      <c r="V57" s="86"/>
      <c r="W57" s="86"/>
      <c r="X57" s="86"/>
      <c r="Y57" s="86"/>
      <c r="AC57" s="18"/>
      <c r="AD57" s="18"/>
      <c r="AE57" s="18"/>
      <c r="AF57" s="18"/>
      <c r="AG57" s="18"/>
      <c r="AH57" s="18"/>
      <c r="AI57" s="18"/>
      <c r="AJ57" s="18"/>
      <c r="AK57" s="18"/>
      <c r="AL57" s="18"/>
      <c r="AM57" s="18"/>
      <c r="AN57" s="18"/>
      <c r="AP57" s="8"/>
      <c r="AR57" s="6"/>
      <c r="CF57" s="8"/>
      <c r="CL57" s="135"/>
      <c r="CM57" s="135"/>
      <c r="CN57" s="135"/>
      <c r="CO57" s="135"/>
      <c r="CP57" s="135"/>
      <c r="CQ57" s="135"/>
      <c r="CR57" s="135"/>
      <c r="CS57" s="135"/>
      <c r="CT57" s="135"/>
      <c r="CU57" s="135"/>
      <c r="CV57" s="135"/>
      <c r="CW57" s="135"/>
      <c r="CX57" s="135"/>
      <c r="DW57" s="1">
        <f t="shared" si="19"/>
        <v>10.8</v>
      </c>
      <c r="DX57" s="12" t="str">
        <f t="shared" si="12"/>
        <v>0.0001-2.499693i</v>
      </c>
      <c r="DY57" s="13" t="str">
        <f t="shared" si="17"/>
        <v>0.000000001</v>
      </c>
      <c r="DZ57" s="13" t="str">
        <f t="shared" si="7"/>
        <v>0.010799+11.662568i</v>
      </c>
      <c r="EA57" s="14" t="str">
        <f t="shared" si="8"/>
        <v>5399336805.55556+0.0001i</v>
      </c>
      <c r="EC57" s="1" t="str">
        <f t="shared" si="18"/>
        <v>0.010799001+11.662568i</v>
      </c>
      <c r="ED57" s="1" t="str">
        <f t="shared" si="9"/>
        <v>58307443.561365+62970132649.6945i</v>
      </c>
      <c r="EE57" s="1" t="str">
        <f t="shared" si="10"/>
        <v>5399336805.56636+11.662668i</v>
      </c>
      <c r="EF57" s="1" t="str">
        <f t="shared" si="13"/>
        <v>0.010799+11.662568i</v>
      </c>
      <c r="EG57" s="1" t="str">
        <f t="shared" si="14"/>
        <v>0.010899+9.162875i</v>
      </c>
      <c r="FN57" s="1">
        <f t="shared" si="15"/>
        <v>11.4</v>
      </c>
      <c r="FO57" s="1">
        <f t="shared" si="16"/>
        <v>9.9423639738426903</v>
      </c>
      <c r="II57" s="79">
        <f>EP278</f>
        <v>7.4000000000000001E-8</v>
      </c>
      <c r="IJ57" s="79"/>
      <c r="IK57" s="79"/>
      <c r="IL57" s="79"/>
      <c r="IM57" s="79"/>
    </row>
    <row r="58" spans="2:247" ht="18" customHeight="1" x14ac:dyDescent="0.3">
      <c r="B58" s="6"/>
      <c r="C58" s="18"/>
      <c r="D58" s="18"/>
      <c r="E58" s="18"/>
      <c r="F58" s="18"/>
      <c r="G58" s="18"/>
      <c r="H58" s="18"/>
      <c r="I58" s="86" t="s">
        <v>103</v>
      </c>
      <c r="J58" s="86"/>
      <c r="K58" s="86"/>
      <c r="L58" s="86"/>
      <c r="M58" s="18"/>
      <c r="O58" s="86" t="s">
        <v>104</v>
      </c>
      <c r="P58" s="86"/>
      <c r="Q58" s="86"/>
      <c r="R58" s="86"/>
      <c r="U58" s="86"/>
      <c r="V58" s="86"/>
      <c r="W58" s="86"/>
      <c r="X58" s="86"/>
      <c r="Y58" s="86"/>
      <c r="AC58" s="18"/>
      <c r="AD58" s="18"/>
      <c r="AE58" s="18"/>
      <c r="AF58" s="18"/>
      <c r="AG58" s="18"/>
      <c r="AH58" s="18"/>
      <c r="AI58" s="18"/>
      <c r="AJ58" s="18"/>
      <c r="AK58" s="18"/>
      <c r="AL58" s="18"/>
      <c r="AM58" s="18"/>
      <c r="AN58" s="18"/>
      <c r="AP58" s="8"/>
      <c r="AR58" s="6"/>
      <c r="AS58" s="136" t="str">
        <f>S17&amp;"kV, "&amp;S20&amp;"Hz High-Pass Filter, Wye-Connected"</f>
        <v>12.47kV, 60Hz High-Pass Filter, Wye-Connected</v>
      </c>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8"/>
      <c r="CL58" s="135"/>
      <c r="CM58" s="135"/>
      <c r="CN58" s="135"/>
      <c r="CO58" s="135"/>
      <c r="CP58" s="135"/>
      <c r="CQ58" s="135"/>
      <c r="CR58" s="135"/>
      <c r="CS58" s="135"/>
      <c r="CT58" s="135"/>
      <c r="CU58" s="135"/>
      <c r="CV58" s="135"/>
      <c r="CW58" s="135"/>
      <c r="CX58" s="135"/>
      <c r="DW58" s="1">
        <f t="shared" si="19"/>
        <v>11</v>
      </c>
      <c r="DX58" s="12" t="str">
        <f t="shared" si="12"/>
        <v>0.0001-2.454244i</v>
      </c>
      <c r="DY58" s="13" t="str">
        <f t="shared" si="17"/>
        <v>0.000000001</v>
      </c>
      <c r="DZ58" s="13" t="str">
        <f t="shared" si="7"/>
        <v>0.010799+11.878541i</v>
      </c>
      <c r="EA58" s="14" t="str">
        <f t="shared" si="8"/>
        <v>5399336805.55556+0.0001i</v>
      </c>
      <c r="EC58" s="1" t="str">
        <f t="shared" si="18"/>
        <v>0.010799001+11.878541i</v>
      </c>
      <c r="ED58" s="1" t="str">
        <f t="shared" si="9"/>
        <v>58307443.561343+64136243617.6007i</v>
      </c>
      <c r="EE58" s="1" t="str">
        <f t="shared" si="10"/>
        <v>5399336805.56636+11.878641i</v>
      </c>
      <c r="EF58" s="1" t="str">
        <f t="shared" si="13"/>
        <v>0.010799+11.878541i</v>
      </c>
      <c r="EG58" s="1" t="str">
        <f t="shared" si="14"/>
        <v>0.010899+9.424297i</v>
      </c>
      <c r="FN58" s="1">
        <f t="shared" si="15"/>
        <v>11.6</v>
      </c>
      <c r="FO58" s="1">
        <f t="shared" si="16"/>
        <v>10.199166823428373</v>
      </c>
      <c r="II58" s="77">
        <f>SQRT(SUM(EA280:EP280))</f>
        <v>2.649643780001664E-7</v>
      </c>
      <c r="IJ58" s="77"/>
      <c r="IK58" s="77"/>
      <c r="IL58" s="77"/>
      <c r="IM58" s="77"/>
    </row>
    <row r="59" spans="2:247" ht="18" customHeight="1" x14ac:dyDescent="0.3">
      <c r="B59" s="6"/>
      <c r="C59" s="86" t="s">
        <v>105</v>
      </c>
      <c r="D59" s="86"/>
      <c r="E59" s="86"/>
      <c r="F59" s="86"/>
      <c r="G59" s="86"/>
      <c r="H59" s="17"/>
      <c r="I59" s="86"/>
      <c r="J59" s="86"/>
      <c r="K59" s="86"/>
      <c r="L59" s="86"/>
      <c r="M59" s="49"/>
      <c r="O59" s="86"/>
      <c r="P59" s="86"/>
      <c r="Q59" s="86"/>
      <c r="R59" s="86"/>
      <c r="U59" s="86"/>
      <c r="V59" s="86"/>
      <c r="W59" s="86"/>
      <c r="X59" s="86"/>
      <c r="Y59" s="86"/>
      <c r="AA59" s="86" t="s">
        <v>106</v>
      </c>
      <c r="AB59" s="86"/>
      <c r="AC59" s="86"/>
      <c r="AD59" s="86"/>
      <c r="AE59" s="86"/>
      <c r="AP59" s="8"/>
      <c r="AR59" s="6"/>
      <c r="AS59" s="97" t="str">
        <f>FIXED(S18,0)&amp;" Kvar 3-Phase, "&amp;FIXED(S19,1)&amp;" Tuning"</f>
        <v>6,000 Kvar 3-Phase, 5.0 Tuning</v>
      </c>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c r="CC59" s="97"/>
      <c r="CD59" s="97"/>
      <c r="CE59" s="97"/>
      <c r="CF59" s="8"/>
      <c r="CL59" s="135"/>
      <c r="CM59" s="135"/>
      <c r="CN59" s="135"/>
      <c r="CO59" s="135"/>
      <c r="CP59" s="135"/>
      <c r="CQ59" s="135"/>
      <c r="CR59" s="135"/>
      <c r="CS59" s="135"/>
      <c r="CT59" s="135"/>
      <c r="CU59" s="135"/>
      <c r="CV59" s="135"/>
      <c r="CW59" s="135"/>
      <c r="CX59" s="135"/>
      <c r="DW59" s="1">
        <f t="shared" si="19"/>
        <v>11.2</v>
      </c>
      <c r="DX59" s="12" t="str">
        <f t="shared" si="12"/>
        <v>0.0001-2.410418i</v>
      </c>
      <c r="DY59" s="13" t="str">
        <f t="shared" si="17"/>
        <v>0.000000001</v>
      </c>
      <c r="DZ59" s="13" t="str">
        <f t="shared" si="7"/>
        <v>0.010799+12.094514i</v>
      </c>
      <c r="EA59" s="14" t="str">
        <f t="shared" si="8"/>
        <v>5399336805.55556+0.0001i</v>
      </c>
      <c r="EC59" s="1" t="str">
        <f t="shared" si="18"/>
        <v>0.010799001+12.094514i</v>
      </c>
      <c r="ED59" s="1" t="str">
        <f t="shared" si="9"/>
        <v>58307443.561322+65302354585.507i</v>
      </c>
      <c r="EE59" s="1" t="str">
        <f t="shared" si="10"/>
        <v>5399336805.56636+12.094614i</v>
      </c>
      <c r="EF59" s="1" t="str">
        <f t="shared" si="13"/>
        <v>0.010799+12.094514i</v>
      </c>
      <c r="EG59" s="1" t="str">
        <f t="shared" si="14"/>
        <v>0.010899+9.684096i</v>
      </c>
      <c r="FN59" s="1">
        <f t="shared" si="15"/>
        <v>11.8</v>
      </c>
      <c r="FO59" s="1">
        <f t="shared" si="16"/>
        <v>10.454585681154514</v>
      </c>
    </row>
    <row r="60" spans="2:247" ht="18" customHeight="1" x14ac:dyDescent="0.25">
      <c r="B60" s="6"/>
      <c r="C60" s="87"/>
      <c r="D60" s="87"/>
      <c r="E60" s="87"/>
      <c r="F60" s="87"/>
      <c r="G60" s="87"/>
      <c r="H60" s="17"/>
      <c r="I60" s="87"/>
      <c r="J60" s="87"/>
      <c r="K60" s="87"/>
      <c r="L60" s="87"/>
      <c r="M60" s="49"/>
      <c r="O60" s="87"/>
      <c r="P60" s="87"/>
      <c r="Q60" s="87"/>
      <c r="R60" s="87"/>
      <c r="U60" s="87"/>
      <c r="V60" s="87"/>
      <c r="W60" s="87"/>
      <c r="X60" s="87"/>
      <c r="Y60" s="87"/>
      <c r="AA60" s="87"/>
      <c r="AB60" s="87"/>
      <c r="AC60" s="87"/>
      <c r="AD60" s="87"/>
      <c r="AE60" s="87"/>
      <c r="AP60" s="8"/>
      <c r="AR60" s="6"/>
      <c r="CF60" s="8"/>
      <c r="CL60" s="107">
        <f t="shared" ref="CL60:CL75" si="20">C61</f>
        <v>1</v>
      </c>
      <c r="CM60" s="107"/>
      <c r="CN60" s="107"/>
      <c r="CO60" s="107">
        <f t="shared" ref="CO60:CO75" si="21">I61</f>
        <v>278.12414534767834</v>
      </c>
      <c r="CP60" s="107"/>
      <c r="CQ60" s="107"/>
      <c r="CR60" s="107">
        <f t="shared" ref="CR60:CR75" si="22">U61</f>
        <v>278.12414534767834</v>
      </c>
      <c r="CS60" s="107"/>
      <c r="CT60" s="107"/>
      <c r="CU60" s="107"/>
      <c r="CV60" s="107">
        <f t="shared" ref="CV60:CV75" si="23">H114</f>
        <v>417.1862180215175</v>
      </c>
      <c r="CW60" s="107"/>
      <c r="CX60" s="107"/>
      <c r="DW60" s="1">
        <f t="shared" si="19"/>
        <v>11.4</v>
      </c>
      <c r="DX60" s="12" t="str">
        <f t="shared" si="12"/>
        <v>0.0001-2.36813i</v>
      </c>
      <c r="DY60" s="13" t="str">
        <f t="shared" si="17"/>
        <v>0.000000001</v>
      </c>
      <c r="DZ60" s="13" t="str">
        <f t="shared" si="7"/>
        <v>0.010799+12.310488i</v>
      </c>
      <c r="EA60" s="14" t="str">
        <f t="shared" si="8"/>
        <v>5399336805.55556+0.0001i</v>
      </c>
      <c r="EC60" s="1" t="str">
        <f t="shared" si="18"/>
        <v>0.010799001+12.310488i</v>
      </c>
      <c r="ED60" s="1" t="str">
        <f t="shared" si="9"/>
        <v>58307443.5613+66468470952.7501i</v>
      </c>
      <c r="EE60" s="1" t="str">
        <f t="shared" si="10"/>
        <v>5399336805.56636+12.310588i</v>
      </c>
      <c r="EF60" s="1" t="str">
        <f t="shared" si="13"/>
        <v>0.010799+12.310488i</v>
      </c>
      <c r="EG60" s="1" t="str">
        <f t="shared" si="14"/>
        <v>0.010899+9.942358i</v>
      </c>
      <c r="FN60" s="1">
        <f t="shared" si="15"/>
        <v>12</v>
      </c>
      <c r="FO60" s="1">
        <f t="shared" si="16"/>
        <v>10.708689546347722</v>
      </c>
      <c r="HL60" s="74" t="str">
        <f>"High-Pass Resistor Losses, "&amp;S20&amp;" Hertz:"</f>
        <v>High-Pass Resistor Losses, 60 Hertz:</v>
      </c>
      <c r="HM60" s="74"/>
      <c r="HN60" s="74"/>
      <c r="HO60" s="74"/>
      <c r="HP60" s="74"/>
      <c r="HQ60" s="74"/>
      <c r="HR60" s="74"/>
      <c r="HS60" s="74"/>
      <c r="HT60" s="74"/>
      <c r="HU60" s="74"/>
      <c r="HV60" s="74"/>
      <c r="HW60" s="74"/>
      <c r="HX60" s="74"/>
      <c r="HY60" s="74"/>
      <c r="HZ60" s="75">
        <f>EA279*3</f>
        <v>5.0118614053259389E-5</v>
      </c>
      <c r="IA60" s="75"/>
      <c r="IB60" s="75"/>
      <c r="IC60" s="75"/>
      <c r="ID60" s="1" t="str">
        <f>"Watts, 3-Phase or "&amp;ROUND(HZ60*3.412141,0)&amp;" BTUs/Hour"</f>
        <v>Watts, 3-Phase or 0 BTUs/Hour</v>
      </c>
    </row>
    <row r="61" spans="2:247" ht="18" customHeight="1" x14ac:dyDescent="0.25">
      <c r="B61" s="6"/>
      <c r="C61" s="130">
        <f>J24</f>
        <v>1</v>
      </c>
      <c r="D61" s="130"/>
      <c r="E61" s="130"/>
      <c r="F61" s="130"/>
      <c r="G61" s="130"/>
      <c r="H61" s="24"/>
      <c r="I61" s="131">
        <f>J25</f>
        <v>278.12414534767834</v>
      </c>
      <c r="J61" s="131"/>
      <c r="K61" s="131"/>
      <c r="L61" s="131"/>
      <c r="M61" s="50"/>
      <c r="O61" s="132">
        <f>($AJ$30/C61)*J25</f>
        <v>7508.429672447015</v>
      </c>
      <c r="P61" s="132"/>
      <c r="Q61" s="132"/>
      <c r="R61" s="132"/>
      <c r="U61" s="132">
        <f>EA277</f>
        <v>278.12414534767834</v>
      </c>
      <c r="V61" s="132"/>
      <c r="W61" s="132"/>
      <c r="X61" s="132"/>
      <c r="Y61" s="132"/>
      <c r="AA61" s="133">
        <f>(VLOOKUP(J24+0.1,'Notch Filter Design'!$FN$5:$FO$250,2)*J25)/((($S$17*1000)/1.73205))</f>
        <v>1.0011850725059492</v>
      </c>
      <c r="AB61" s="133"/>
      <c r="AC61" s="133"/>
      <c r="AD61" s="133"/>
      <c r="AE61" s="133"/>
      <c r="AP61" s="8"/>
      <c r="AR61" s="6"/>
      <c r="BK61" s="24" t="str">
        <f>"Fundamental amps "&amp;ROUND(J25,1)&amp;" amps/phase"</f>
        <v>Fundamental amps 278.1 amps/phase</v>
      </c>
      <c r="CC61" s="17"/>
      <c r="CF61" s="8"/>
      <c r="CL61" s="107">
        <f t="shared" si="20"/>
        <v>2</v>
      </c>
      <c r="CM61" s="107"/>
      <c r="CN61" s="107"/>
      <c r="CO61" s="107">
        <f t="shared" si="21"/>
        <v>0</v>
      </c>
      <c r="CP61" s="107"/>
      <c r="CQ61" s="107"/>
      <c r="CR61" s="107">
        <f t="shared" si="22"/>
        <v>0</v>
      </c>
      <c r="CS61" s="107"/>
      <c r="CT61" s="107"/>
      <c r="CU61" s="107"/>
      <c r="CV61" s="107">
        <f t="shared" si="23"/>
        <v>0</v>
      </c>
      <c r="CW61" s="107"/>
      <c r="CX61" s="107"/>
      <c r="DW61" s="1">
        <f t="shared" si="19"/>
        <v>11.6</v>
      </c>
      <c r="DX61" s="12" t="str">
        <f t="shared" si="12"/>
        <v>0.0001-2.3273i</v>
      </c>
      <c r="DY61" s="13" t="str">
        <f t="shared" si="17"/>
        <v>0.000000001</v>
      </c>
      <c r="DZ61" s="13" t="str">
        <f t="shared" si="7"/>
        <v>0.010799+12.526461i</v>
      </c>
      <c r="EA61" s="14" t="str">
        <f t="shared" si="8"/>
        <v>5399336805.55556+0.0001i</v>
      </c>
      <c r="EC61" s="1" t="str">
        <f t="shared" si="18"/>
        <v>0.010799001+12.526461i</v>
      </c>
      <c r="ED61" s="1" t="str">
        <f t="shared" si="9"/>
        <v>58307443.561279+67634581920.6563i</v>
      </c>
      <c r="EE61" s="1" t="str">
        <f t="shared" si="10"/>
        <v>5399336805.56636+12.526561i</v>
      </c>
      <c r="EF61" s="1" t="str">
        <f t="shared" si="13"/>
        <v>0.010799+12.526461i</v>
      </c>
      <c r="EG61" s="1" t="str">
        <f t="shared" si="14"/>
        <v>0.010899+10.199161i</v>
      </c>
      <c r="FN61" s="1">
        <f t="shared" si="15"/>
        <v>12.2</v>
      </c>
      <c r="FO61" s="1">
        <f t="shared" si="16"/>
        <v>10.961544418407563</v>
      </c>
    </row>
    <row r="62" spans="2:247" ht="18" customHeight="1" x14ac:dyDescent="0.25">
      <c r="B62" s="6"/>
      <c r="C62" s="75">
        <f>L24</f>
        <v>2</v>
      </c>
      <c r="D62" s="75"/>
      <c r="E62" s="75"/>
      <c r="F62" s="75"/>
      <c r="G62" s="75"/>
      <c r="H62" s="24"/>
      <c r="I62" s="124">
        <f>L25</f>
        <v>0</v>
      </c>
      <c r="J62" s="124"/>
      <c r="K62" s="124"/>
      <c r="L62" s="124"/>
      <c r="M62" s="50"/>
      <c r="O62" s="125">
        <f t="shared" ref="O62:O76" si="24">($AJ$30/C62)*I62</f>
        <v>0</v>
      </c>
      <c r="P62" s="125"/>
      <c r="Q62" s="125"/>
      <c r="R62" s="125"/>
      <c r="U62" s="125">
        <f>EB277</f>
        <v>0</v>
      </c>
      <c r="V62" s="125"/>
      <c r="W62" s="125"/>
      <c r="X62" s="125"/>
      <c r="Y62" s="125"/>
      <c r="AA62" s="126">
        <f>(VLOOKUP(L24+0.1,'Notch Filter Design'!$FN$5:$FO$250,2)*L25)/((($S$17*1000)/1.73205))</f>
        <v>0</v>
      </c>
      <c r="AB62" s="126"/>
      <c r="AC62" s="126"/>
      <c r="AD62" s="126"/>
      <c r="AE62" s="126"/>
      <c r="AP62" s="8"/>
      <c r="AR62" s="6"/>
      <c r="BK62" s="38" t="str">
        <f>"RMS Current "&amp;ROUND(ET281,2)&amp;" amps/phase"</f>
        <v>RMS Current 314.89 amps/phase</v>
      </c>
      <c r="CC62" s="17"/>
      <c r="CF62" s="8"/>
      <c r="CL62" s="107">
        <f t="shared" si="20"/>
        <v>3</v>
      </c>
      <c r="CM62" s="107"/>
      <c r="CN62" s="107"/>
      <c r="CO62" s="107">
        <f t="shared" si="21"/>
        <v>0</v>
      </c>
      <c r="CP62" s="107"/>
      <c r="CQ62" s="107"/>
      <c r="CR62" s="107">
        <f t="shared" si="22"/>
        <v>0</v>
      </c>
      <c r="CS62" s="107"/>
      <c r="CT62" s="107"/>
      <c r="CU62" s="107"/>
      <c r="CV62" s="107">
        <f t="shared" si="23"/>
        <v>0</v>
      </c>
      <c r="CW62" s="107"/>
      <c r="CX62" s="107"/>
      <c r="DW62" s="1">
        <f t="shared" si="19"/>
        <v>11.8</v>
      </c>
      <c r="DX62" s="12" t="str">
        <f t="shared" si="12"/>
        <v>0.0001-2.287855i</v>
      </c>
      <c r="DY62" s="13" t="str">
        <f t="shared" si="17"/>
        <v>0.000000001</v>
      </c>
      <c r="DZ62" s="13" t="str">
        <f t="shared" si="7"/>
        <v>0.010799+12.742435i</v>
      </c>
      <c r="EA62" s="14" t="str">
        <f t="shared" si="8"/>
        <v>5399336805.55556+0.0001i</v>
      </c>
      <c r="EC62" s="1" t="str">
        <f t="shared" si="18"/>
        <v>0.010799001+12.742435i</v>
      </c>
      <c r="ED62" s="1" t="str">
        <f t="shared" si="9"/>
        <v>58307443.561257+68800698287.8994i</v>
      </c>
      <c r="EE62" s="1" t="str">
        <f t="shared" si="10"/>
        <v>5399336805.56636+12.742535i</v>
      </c>
      <c r="EF62" s="1" t="str">
        <f t="shared" si="13"/>
        <v>0.010799+12.742435i</v>
      </c>
      <c r="EG62" s="1" t="str">
        <f t="shared" si="14"/>
        <v>0.010899+10.45458i</v>
      </c>
      <c r="FN62" s="1">
        <f t="shared" si="15"/>
        <v>12.4</v>
      </c>
      <c r="FO62" s="1">
        <f t="shared" si="16"/>
        <v>11.21320829679936</v>
      </c>
    </row>
    <row r="63" spans="2:247" ht="18" customHeight="1" x14ac:dyDescent="0.25">
      <c r="B63" s="6"/>
      <c r="C63" s="75">
        <f>N24</f>
        <v>3</v>
      </c>
      <c r="D63" s="75"/>
      <c r="E63" s="75"/>
      <c r="F63" s="75"/>
      <c r="G63" s="75"/>
      <c r="H63" s="24"/>
      <c r="I63" s="124">
        <f>N25</f>
        <v>0</v>
      </c>
      <c r="J63" s="124"/>
      <c r="K63" s="124"/>
      <c r="L63" s="124"/>
      <c r="M63" s="50"/>
      <c r="O63" s="125">
        <f t="shared" si="24"/>
        <v>0</v>
      </c>
      <c r="P63" s="125"/>
      <c r="Q63" s="125"/>
      <c r="R63" s="125"/>
      <c r="U63" s="125">
        <f>EC277</f>
        <v>0</v>
      </c>
      <c r="V63" s="125"/>
      <c r="W63" s="125"/>
      <c r="X63" s="125"/>
      <c r="Y63" s="125"/>
      <c r="AA63" s="126">
        <f>(VLOOKUP(N24+0.1,'Notch Filter Design'!$FN$5:$FO$250,2)*N25)/((($S$17*1000)/1.73205))</f>
        <v>0</v>
      </c>
      <c r="AB63" s="126"/>
      <c r="AC63" s="126"/>
      <c r="AD63" s="126"/>
      <c r="AE63" s="126"/>
      <c r="AP63" s="8"/>
      <c r="AR63" s="6"/>
      <c r="CC63" s="17"/>
      <c r="CF63" s="8"/>
      <c r="CL63" s="107">
        <f t="shared" si="20"/>
        <v>4</v>
      </c>
      <c r="CM63" s="107"/>
      <c r="CN63" s="107"/>
      <c r="CO63" s="107">
        <f t="shared" si="21"/>
        <v>0</v>
      </c>
      <c r="CP63" s="107"/>
      <c r="CQ63" s="107"/>
      <c r="CR63" s="107">
        <f t="shared" si="22"/>
        <v>0</v>
      </c>
      <c r="CS63" s="107"/>
      <c r="CT63" s="107"/>
      <c r="CU63" s="107"/>
      <c r="CV63" s="107">
        <f t="shared" si="23"/>
        <v>0</v>
      </c>
      <c r="CW63" s="107"/>
      <c r="CX63" s="107"/>
      <c r="DW63" s="1">
        <f t="shared" si="19"/>
        <v>12</v>
      </c>
      <c r="DX63" s="12" t="str">
        <f t="shared" si="12"/>
        <v>0.0001-2.249724i</v>
      </c>
      <c r="DY63" s="13" t="str">
        <f t="shared" si="17"/>
        <v>0.000000001</v>
      </c>
      <c r="DZ63" s="13" t="str">
        <f t="shared" si="7"/>
        <v>0.010799+12.958408i</v>
      </c>
      <c r="EA63" s="14" t="str">
        <f t="shared" si="8"/>
        <v>5399336805.55556+0.0001i</v>
      </c>
      <c r="EC63" s="1" t="str">
        <f t="shared" si="18"/>
        <v>0.010799001+12.958408i</v>
      </c>
      <c r="ED63" s="1" t="str">
        <f t="shared" si="9"/>
        <v>58307443.561236+69966809255.8056i</v>
      </c>
      <c r="EE63" s="1" t="str">
        <f t="shared" si="10"/>
        <v>5399336805.56636+12.958508i</v>
      </c>
      <c r="EF63" s="1" t="str">
        <f t="shared" si="13"/>
        <v>0.010799+12.958408i</v>
      </c>
      <c r="EG63" s="1" t="str">
        <f t="shared" si="14"/>
        <v>0.010899+10.708684i</v>
      </c>
      <c r="FN63" s="1">
        <f t="shared" si="15"/>
        <v>12.6</v>
      </c>
      <c r="FO63" s="1">
        <f t="shared" si="16"/>
        <v>11.463740181041528</v>
      </c>
    </row>
    <row r="64" spans="2:247" ht="18" customHeight="1" x14ac:dyDescent="0.25">
      <c r="B64" s="6"/>
      <c r="C64" s="75">
        <f>P24</f>
        <v>4</v>
      </c>
      <c r="D64" s="75"/>
      <c r="E64" s="75"/>
      <c r="F64" s="75"/>
      <c r="G64" s="75"/>
      <c r="H64" s="24"/>
      <c r="I64" s="124">
        <f>P25</f>
        <v>0</v>
      </c>
      <c r="J64" s="124"/>
      <c r="K64" s="124"/>
      <c r="L64" s="124"/>
      <c r="M64" s="50"/>
      <c r="O64" s="125">
        <f t="shared" si="24"/>
        <v>0</v>
      </c>
      <c r="P64" s="125"/>
      <c r="Q64" s="125"/>
      <c r="R64" s="125"/>
      <c r="U64" s="125">
        <f>ED277</f>
        <v>0</v>
      </c>
      <c r="V64" s="125"/>
      <c r="W64" s="125"/>
      <c r="X64" s="125"/>
      <c r="Y64" s="125"/>
      <c r="AA64" s="126">
        <f>(VLOOKUP(P24+0.1,'Notch Filter Design'!$FN$5:$FO$250,2)*P25)/((($S$17*1000)/1.73205))</f>
        <v>0</v>
      </c>
      <c r="AB64" s="126"/>
      <c r="AC64" s="126"/>
      <c r="AD64" s="126"/>
      <c r="AE64" s="126"/>
      <c r="AP64" s="8"/>
      <c r="AR64" s="6"/>
      <c r="BK64" s="38" t="str">
        <f>"Reactor: "&amp;ROUND(AJ34,2)&amp;" ohms, "&amp;ROUND(AJ35,2)&amp;" mH"</f>
        <v>Reactor: 1.08 ohms, 2.86 mH</v>
      </c>
      <c r="CC64" s="17"/>
      <c r="CF64" s="8"/>
      <c r="CL64" s="107">
        <f t="shared" si="20"/>
        <v>5</v>
      </c>
      <c r="CM64" s="107"/>
      <c r="CN64" s="107"/>
      <c r="CO64" s="107">
        <f t="shared" si="21"/>
        <v>100</v>
      </c>
      <c r="CP64" s="107"/>
      <c r="CQ64" s="107"/>
      <c r="CR64" s="107">
        <f t="shared" si="22"/>
        <v>100</v>
      </c>
      <c r="CS64" s="107"/>
      <c r="CT64" s="107"/>
      <c r="CU64" s="107"/>
      <c r="CV64" s="107">
        <f t="shared" si="23"/>
        <v>150</v>
      </c>
      <c r="CW64" s="107"/>
      <c r="CX64" s="107"/>
      <c r="DW64" s="1">
        <f t="shared" si="19"/>
        <v>12.2</v>
      </c>
      <c r="DX64" s="12" t="str">
        <f t="shared" si="12"/>
        <v>0.0001-2.212843i</v>
      </c>
      <c r="DY64" s="13" t="str">
        <f t="shared" si="17"/>
        <v>0.000000001</v>
      </c>
      <c r="DZ64" s="13" t="str">
        <f t="shared" si="7"/>
        <v>0.010799+13.174382i</v>
      </c>
      <c r="EA64" s="14" t="str">
        <f t="shared" si="8"/>
        <v>5399336805.55556+0.0001i</v>
      </c>
      <c r="EC64" s="1" t="str">
        <f t="shared" si="18"/>
        <v>0.010799001+13.174382i</v>
      </c>
      <c r="ED64" s="1" t="str">
        <f t="shared" si="9"/>
        <v>58307443.561214+71132925623.0487i</v>
      </c>
      <c r="EE64" s="1" t="str">
        <f t="shared" si="10"/>
        <v>5399336805.56636+13.174482i</v>
      </c>
      <c r="EF64" s="1" t="str">
        <f t="shared" si="13"/>
        <v>0.010799+13.174382i</v>
      </c>
      <c r="EG64" s="1" t="str">
        <f t="shared" si="14"/>
        <v>0.010899+10.961539i</v>
      </c>
      <c r="FN64" s="1">
        <f t="shared" si="15"/>
        <v>12.8</v>
      </c>
      <c r="FO64" s="1">
        <f t="shared" si="16"/>
        <v>11.71319107070302</v>
      </c>
    </row>
    <row r="65" spans="2:171" ht="18" customHeight="1" x14ac:dyDescent="0.25">
      <c r="B65" s="6"/>
      <c r="C65" s="75">
        <f>R24</f>
        <v>5</v>
      </c>
      <c r="D65" s="75"/>
      <c r="E65" s="75"/>
      <c r="F65" s="75"/>
      <c r="G65" s="75"/>
      <c r="H65" s="24"/>
      <c r="I65" s="124">
        <f>R25</f>
        <v>100</v>
      </c>
      <c r="J65" s="124"/>
      <c r="K65" s="124"/>
      <c r="L65" s="124"/>
      <c r="M65" s="50"/>
      <c r="O65" s="125">
        <f t="shared" si="24"/>
        <v>539.93368055555572</v>
      </c>
      <c r="P65" s="125"/>
      <c r="Q65" s="125"/>
      <c r="R65" s="125"/>
      <c r="U65" s="125">
        <f>EE277</f>
        <v>100</v>
      </c>
      <c r="V65" s="125"/>
      <c r="W65" s="125"/>
      <c r="X65" s="125"/>
      <c r="Y65" s="125"/>
      <c r="AA65" s="126">
        <f>(VLOOKUP(R24+0.1,'Notch Filter Design'!$FN$5:$FO$250,2)*R25)/((($S$17*1000)/1.73205))</f>
        <v>1.5138422574178029E-4</v>
      </c>
      <c r="AB65" s="126"/>
      <c r="AC65" s="126"/>
      <c r="AD65" s="126"/>
      <c r="AE65" s="126"/>
      <c r="AP65" s="8"/>
      <c r="AR65" s="6"/>
      <c r="BE65" s="29"/>
      <c r="BK65" s="1" t="str">
        <f>"I1= "&amp;ROUND(U61,1)&amp;" amps nominal"</f>
        <v>I1= 278.1 amps nominal</v>
      </c>
      <c r="CC65" s="17"/>
      <c r="CF65" s="8"/>
      <c r="CL65" s="107">
        <f t="shared" si="20"/>
        <v>7</v>
      </c>
      <c r="CM65" s="107"/>
      <c r="CN65" s="107"/>
      <c r="CO65" s="107">
        <f t="shared" si="21"/>
        <v>80</v>
      </c>
      <c r="CP65" s="107"/>
      <c r="CQ65" s="107"/>
      <c r="CR65" s="107">
        <f t="shared" si="22"/>
        <v>79.999999999999986</v>
      </c>
      <c r="CS65" s="107"/>
      <c r="CT65" s="107"/>
      <c r="CU65" s="107"/>
      <c r="CV65" s="107">
        <f t="shared" si="23"/>
        <v>119.99999999999997</v>
      </c>
      <c r="CW65" s="107"/>
      <c r="CX65" s="107"/>
      <c r="DW65" s="1">
        <f t="shared" si="19"/>
        <v>12.4</v>
      </c>
      <c r="DX65" s="12" t="str">
        <f t="shared" si="12"/>
        <v>0.0001-2.177152i</v>
      </c>
      <c r="DY65" s="13" t="str">
        <f t="shared" si="17"/>
        <v>0.000000001</v>
      </c>
      <c r="DZ65" s="13" t="str">
        <f t="shared" si="7"/>
        <v>0.010799+13.390355i</v>
      </c>
      <c r="EA65" s="14" t="str">
        <f t="shared" si="8"/>
        <v>5399336805.55556+0.0001i</v>
      </c>
      <c r="EC65" s="1" t="str">
        <f t="shared" si="18"/>
        <v>0.010799001+13.390355i</v>
      </c>
      <c r="ED65" s="1" t="str">
        <f t="shared" si="9"/>
        <v>58307443.561192+72299036590.9549i</v>
      </c>
      <c r="EE65" s="1" t="str">
        <f t="shared" si="10"/>
        <v>5399336805.56636+13.390455i</v>
      </c>
      <c r="EF65" s="1" t="str">
        <f t="shared" si="13"/>
        <v>0.010799+13.390355i</v>
      </c>
      <c r="EG65" s="1" t="str">
        <f t="shared" si="14"/>
        <v>0.010899+11.213203i</v>
      </c>
      <c r="FN65" s="1">
        <f t="shared" si="15"/>
        <v>13</v>
      </c>
      <c r="FO65" s="1">
        <f t="shared" si="16"/>
        <v>11.961612965393295</v>
      </c>
    </row>
    <row r="66" spans="2:171" ht="18" customHeight="1" x14ac:dyDescent="0.25">
      <c r="B66" s="6"/>
      <c r="C66" s="75">
        <f>T24</f>
        <v>7</v>
      </c>
      <c r="D66" s="75"/>
      <c r="E66" s="75"/>
      <c r="F66" s="75"/>
      <c r="G66" s="75"/>
      <c r="H66" s="24"/>
      <c r="I66" s="124">
        <f>T25</f>
        <v>80</v>
      </c>
      <c r="J66" s="124"/>
      <c r="K66" s="124"/>
      <c r="L66" s="124"/>
      <c r="M66" s="50"/>
      <c r="O66" s="125">
        <f t="shared" si="24"/>
        <v>308.53353174603183</v>
      </c>
      <c r="P66" s="125"/>
      <c r="Q66" s="125"/>
      <c r="R66" s="125"/>
      <c r="U66" s="125">
        <f>EF277</f>
        <v>79.999999999999986</v>
      </c>
      <c r="V66" s="125"/>
      <c r="W66" s="125"/>
      <c r="X66" s="125"/>
      <c r="Y66" s="125"/>
      <c r="AA66" s="126">
        <f>(VLOOKUP(T24+0.1,'Notch Filter Design'!$FN$5:$FO$250,2)*T25)/((($S$17*1000)/1.73205))</f>
        <v>4.1140496562674031E-2</v>
      </c>
      <c r="AB66" s="126"/>
      <c r="AC66" s="126"/>
      <c r="AD66" s="126"/>
      <c r="AE66" s="126"/>
      <c r="AP66" s="8"/>
      <c r="AR66" s="6"/>
      <c r="BE66" s="29"/>
      <c r="CC66" s="17"/>
      <c r="CF66" s="8"/>
      <c r="CL66" s="107">
        <f t="shared" si="20"/>
        <v>11</v>
      </c>
      <c r="CM66" s="107"/>
      <c r="CN66" s="107"/>
      <c r="CO66" s="107">
        <f t="shared" si="21"/>
        <v>60</v>
      </c>
      <c r="CP66" s="107"/>
      <c r="CQ66" s="107"/>
      <c r="CR66" s="107">
        <f t="shared" si="22"/>
        <v>60.000000000000007</v>
      </c>
      <c r="CS66" s="107"/>
      <c r="CT66" s="107"/>
      <c r="CU66" s="107"/>
      <c r="CV66" s="107">
        <f t="shared" si="23"/>
        <v>90.000000000000014</v>
      </c>
      <c r="CW66" s="107"/>
      <c r="CX66" s="107"/>
      <c r="DW66" s="1">
        <f t="shared" si="19"/>
        <v>12.6</v>
      </c>
      <c r="DX66" s="12" t="str">
        <f t="shared" si="12"/>
        <v>0.0001-2.142594i</v>
      </c>
      <c r="DY66" s="13" t="str">
        <f t="shared" si="17"/>
        <v>0.000000001</v>
      </c>
      <c r="DZ66" s="13" t="str">
        <f t="shared" si="7"/>
        <v>0.010799+13.606329i</v>
      </c>
      <c r="EA66" s="14" t="str">
        <f t="shared" si="8"/>
        <v>5399336805.55556+0.0001i</v>
      </c>
      <c r="EC66" s="1" t="str">
        <f t="shared" si="18"/>
        <v>0.010799001+13.606329i</v>
      </c>
      <c r="ED66" s="1" t="str">
        <f t="shared" si="9"/>
        <v>58307443.561171+73465152958.198i</v>
      </c>
      <c r="EE66" s="1" t="str">
        <f t="shared" si="10"/>
        <v>5399336805.56636+13.606429i</v>
      </c>
      <c r="EF66" s="1" t="str">
        <f t="shared" si="13"/>
        <v>0.010799+13.606329i</v>
      </c>
      <c r="EG66" s="1" t="str">
        <f t="shared" si="14"/>
        <v>0.010899+11.463735i</v>
      </c>
      <c r="FN66" s="1">
        <f t="shared" si="15"/>
        <v>13.2</v>
      </c>
      <c r="FO66" s="1">
        <f t="shared" si="16"/>
        <v>12.209050864760824</v>
      </c>
    </row>
    <row r="67" spans="2:171" ht="18" customHeight="1" x14ac:dyDescent="0.25">
      <c r="B67" s="6"/>
      <c r="C67" s="75">
        <f>V24</f>
        <v>11</v>
      </c>
      <c r="D67" s="75"/>
      <c r="E67" s="75"/>
      <c r="F67" s="75"/>
      <c r="G67" s="75"/>
      <c r="H67" s="24"/>
      <c r="I67" s="124">
        <f>V25</f>
        <v>60</v>
      </c>
      <c r="J67" s="124"/>
      <c r="K67" s="124"/>
      <c r="L67" s="124"/>
      <c r="M67" s="50"/>
      <c r="O67" s="125">
        <f t="shared" si="24"/>
        <v>147.25464015151522</v>
      </c>
      <c r="P67" s="125"/>
      <c r="Q67" s="125"/>
      <c r="R67" s="125"/>
      <c r="U67" s="125">
        <f>EG277</f>
        <v>60.000000000000007</v>
      </c>
      <c r="V67" s="125"/>
      <c r="W67" s="125"/>
      <c r="X67" s="125"/>
      <c r="Y67" s="125"/>
      <c r="AA67" s="126">
        <f>(VLOOKUP(V24+0.1,'Notch Filter Design'!$FN$5:$FO$250,2)*V25)/((($S$17*1000)/1.73205))</f>
        <v>7.8540647319773449E-2</v>
      </c>
      <c r="AB67" s="126"/>
      <c r="AC67" s="126"/>
      <c r="AD67" s="126"/>
      <c r="AE67" s="126"/>
      <c r="AP67" s="8"/>
      <c r="AR67" s="6"/>
      <c r="BE67" s="29"/>
      <c r="CC67" s="17"/>
      <c r="CF67" s="8"/>
      <c r="CL67" s="107">
        <f t="shared" si="20"/>
        <v>13</v>
      </c>
      <c r="CM67" s="107"/>
      <c r="CN67" s="107"/>
      <c r="CO67" s="107">
        <f t="shared" si="21"/>
        <v>30</v>
      </c>
      <c r="CP67" s="107"/>
      <c r="CQ67" s="107"/>
      <c r="CR67" s="107">
        <f t="shared" si="22"/>
        <v>30.000000000000004</v>
      </c>
      <c r="CS67" s="107"/>
      <c r="CT67" s="107"/>
      <c r="CU67" s="107"/>
      <c r="CV67" s="107">
        <f t="shared" si="23"/>
        <v>45.000000000000007</v>
      </c>
      <c r="CW67" s="107"/>
      <c r="CX67" s="107"/>
      <c r="DW67" s="1">
        <f t="shared" si="19"/>
        <v>12.8</v>
      </c>
      <c r="DX67" s="12" t="str">
        <f t="shared" si="12"/>
        <v>0.0001-2.109116i</v>
      </c>
      <c r="DY67" s="13" t="str">
        <f t="shared" si="17"/>
        <v>0.000000001</v>
      </c>
      <c r="DZ67" s="13" t="str">
        <f t="shared" si="7"/>
        <v>0.010799+13.822302i</v>
      </c>
      <c r="EA67" s="14" t="str">
        <f t="shared" si="8"/>
        <v>5399336805.55556+0.0001i</v>
      </c>
      <c r="EC67" s="1" t="str">
        <f t="shared" si="18"/>
        <v>0.010799001+13.822302i</v>
      </c>
      <c r="ED67" s="1" t="str">
        <f t="shared" si="9"/>
        <v>58307443.561149+74631263926.1042i</v>
      </c>
      <c r="EE67" s="1" t="str">
        <f t="shared" si="10"/>
        <v>5399336805.56636+13.822402i</v>
      </c>
      <c r="EF67" s="1" t="str">
        <f t="shared" si="13"/>
        <v>0.010799+13.822302i</v>
      </c>
      <c r="EG67" s="1" t="str">
        <f t="shared" si="14"/>
        <v>0.010899+11.713186i</v>
      </c>
      <c r="FN67" s="1">
        <f t="shared" si="15"/>
        <v>13.4</v>
      </c>
      <c r="FO67" s="1">
        <f t="shared" si="16"/>
        <v>12.455549768485774</v>
      </c>
    </row>
    <row r="68" spans="2:171" ht="18" customHeight="1" x14ac:dyDescent="0.25">
      <c r="B68" s="6"/>
      <c r="C68" s="75">
        <f>X24</f>
        <v>13</v>
      </c>
      <c r="D68" s="75"/>
      <c r="E68" s="75"/>
      <c r="F68" s="75"/>
      <c r="G68" s="75"/>
      <c r="H68" s="24"/>
      <c r="I68" s="124">
        <f>X25</f>
        <v>30</v>
      </c>
      <c r="J68" s="124"/>
      <c r="K68" s="124"/>
      <c r="L68" s="124"/>
      <c r="M68" s="50"/>
      <c r="O68" s="125">
        <f t="shared" si="24"/>
        <v>62.300040064102582</v>
      </c>
      <c r="P68" s="125"/>
      <c r="Q68" s="125"/>
      <c r="R68" s="125"/>
      <c r="U68" s="125">
        <f>EH277</f>
        <v>30.000000000000004</v>
      </c>
      <c r="V68" s="125"/>
      <c r="W68" s="125"/>
      <c r="X68" s="125"/>
      <c r="Y68" s="125"/>
      <c r="AA68" s="126">
        <f>(VLOOKUP(X24+0.1,'Notch Filter Design'!$FN$5:$FO$250,2)*X25)/((($S$17*1000)/1.73205))</f>
        <v>4.9843091587913689E-2</v>
      </c>
      <c r="AB68" s="126"/>
      <c r="AC68" s="126"/>
      <c r="AD68" s="126"/>
      <c r="AE68" s="126"/>
      <c r="AP68" s="8"/>
      <c r="AR68" s="6"/>
      <c r="BK68" s="51"/>
      <c r="CC68" s="17"/>
      <c r="CF68" s="8"/>
      <c r="CL68" s="107">
        <f t="shared" si="20"/>
        <v>17</v>
      </c>
      <c r="CM68" s="107"/>
      <c r="CN68" s="107"/>
      <c r="CO68" s="107">
        <f t="shared" si="21"/>
        <v>20</v>
      </c>
      <c r="CP68" s="107"/>
      <c r="CQ68" s="107"/>
      <c r="CR68" s="107">
        <f t="shared" si="22"/>
        <v>20</v>
      </c>
      <c r="CS68" s="107"/>
      <c r="CT68" s="107"/>
      <c r="CU68" s="107"/>
      <c r="CV68" s="107">
        <f t="shared" si="23"/>
        <v>30</v>
      </c>
      <c r="CW68" s="107"/>
      <c r="CX68" s="107"/>
      <c r="DW68" s="1">
        <f t="shared" si="19"/>
        <v>13</v>
      </c>
      <c r="DX68" s="12" t="str">
        <f t="shared" si="12"/>
        <v>0.0001-2.076668i</v>
      </c>
      <c r="DY68" s="13" t="str">
        <f t="shared" si="17"/>
        <v>0.000000001</v>
      </c>
      <c r="DZ68" s="13" t="str">
        <f t="shared" si="7"/>
        <v>0.010799+14.038276i</v>
      </c>
      <c r="EA68" s="14" t="str">
        <f t="shared" si="8"/>
        <v>5399336805.55556+0.0001i</v>
      </c>
      <c r="EC68" s="1" t="str">
        <f t="shared" si="18"/>
        <v>0.010799001+14.038276i</v>
      </c>
      <c r="ED68" s="1" t="str">
        <f t="shared" si="9"/>
        <v>58307443.561128+75797380293.3473i</v>
      </c>
      <c r="EE68" s="1" t="str">
        <f t="shared" si="10"/>
        <v>5399336805.56636+14.038376i</v>
      </c>
      <c r="EF68" s="1" t="str">
        <f t="shared" si="13"/>
        <v>0.010799+14.038276i</v>
      </c>
      <c r="EG68" s="1" t="str">
        <f t="shared" si="14"/>
        <v>0.010899+11.961608i</v>
      </c>
      <c r="FN68" s="1">
        <f t="shared" si="15"/>
        <v>13.6</v>
      </c>
      <c r="FO68" s="1">
        <f t="shared" si="16"/>
        <v>12.701150676277996</v>
      </c>
    </row>
    <row r="69" spans="2:171" ht="18" customHeight="1" x14ac:dyDescent="0.25">
      <c r="B69" s="6"/>
      <c r="C69" s="75">
        <f>Z24</f>
        <v>17</v>
      </c>
      <c r="D69" s="75"/>
      <c r="E69" s="75"/>
      <c r="F69" s="75"/>
      <c r="G69" s="75"/>
      <c r="H69" s="24"/>
      <c r="I69" s="124">
        <f>Z25</f>
        <v>20</v>
      </c>
      <c r="J69" s="124"/>
      <c r="K69" s="124"/>
      <c r="L69" s="124"/>
      <c r="M69" s="50"/>
      <c r="O69" s="125">
        <f t="shared" si="24"/>
        <v>31.760804738562101</v>
      </c>
      <c r="P69" s="125"/>
      <c r="Q69" s="125"/>
      <c r="R69" s="125"/>
      <c r="U69" s="125">
        <f>EI277</f>
        <v>20</v>
      </c>
      <c r="V69" s="125"/>
      <c r="W69" s="125"/>
      <c r="X69" s="125"/>
      <c r="Y69" s="125"/>
      <c r="AA69" s="126">
        <f>(VLOOKUP(Z24+0.1,'Notch Filter Design'!$FN$5:$FO$250,2)*Z25)/((($S$17*1000)/1.73205))</f>
        <v>4.6585362758199217E-2</v>
      </c>
      <c r="AB69" s="126"/>
      <c r="AC69" s="126"/>
      <c r="AD69" s="126"/>
      <c r="AE69" s="126"/>
      <c r="AP69" s="8"/>
      <c r="AR69" s="6"/>
      <c r="BK69" s="38"/>
      <c r="CC69" s="17"/>
      <c r="CF69" s="8"/>
      <c r="CL69" s="107">
        <f t="shared" si="20"/>
        <v>19</v>
      </c>
      <c r="CM69" s="107"/>
      <c r="CN69" s="107"/>
      <c r="CO69" s="107">
        <f t="shared" si="21"/>
        <v>10</v>
      </c>
      <c r="CP69" s="107"/>
      <c r="CQ69" s="107"/>
      <c r="CR69" s="107">
        <f t="shared" si="22"/>
        <v>10</v>
      </c>
      <c r="CS69" s="107"/>
      <c r="CT69" s="107"/>
      <c r="CU69" s="107"/>
      <c r="CV69" s="107">
        <f t="shared" si="23"/>
        <v>15</v>
      </c>
      <c r="CW69" s="107"/>
      <c r="CX69" s="107"/>
      <c r="DW69" s="1">
        <f t="shared" si="19"/>
        <v>13.2</v>
      </c>
      <c r="DX69" s="12" t="str">
        <f t="shared" si="12"/>
        <v>0.0001-2.045203i</v>
      </c>
      <c r="DY69" s="13" t="str">
        <f t="shared" si="17"/>
        <v>0.000000001</v>
      </c>
      <c r="DZ69" s="13" t="str">
        <f t="shared" si="7"/>
        <v>0.010799+14.254249i</v>
      </c>
      <c r="EA69" s="14" t="str">
        <f t="shared" si="8"/>
        <v>5399336805.55556+0.0001i</v>
      </c>
      <c r="EC69" s="1" t="str">
        <f t="shared" si="18"/>
        <v>0.010799001+14.254249i</v>
      </c>
      <c r="ED69" s="1" t="str">
        <f t="shared" si="9"/>
        <v>58307443.561106+76963491261.2535i</v>
      </c>
      <c r="EE69" s="1" t="str">
        <f t="shared" si="10"/>
        <v>5399336805.56636+14.254349i</v>
      </c>
      <c r="EF69" s="1" t="str">
        <f t="shared" si="13"/>
        <v>0.010799+14.254249i</v>
      </c>
      <c r="EG69" s="1" t="str">
        <f t="shared" si="14"/>
        <v>0.010899+12.209046i</v>
      </c>
      <c r="FN69" s="1">
        <f t="shared" si="15"/>
        <v>13.8</v>
      </c>
      <c r="FO69" s="1">
        <f t="shared" si="16"/>
        <v>12.945893587872641</v>
      </c>
    </row>
    <row r="70" spans="2:171" ht="18" customHeight="1" x14ac:dyDescent="0.25">
      <c r="B70" s="6"/>
      <c r="C70" s="75">
        <f>AB24</f>
        <v>19</v>
      </c>
      <c r="D70" s="75"/>
      <c r="E70" s="75"/>
      <c r="F70" s="75"/>
      <c r="G70" s="75"/>
      <c r="H70" s="24"/>
      <c r="I70" s="52">
        <f>AB25</f>
        <v>10</v>
      </c>
      <c r="J70" s="52"/>
      <c r="K70" s="52"/>
      <c r="L70" s="52"/>
      <c r="M70" s="50"/>
      <c r="O70" s="125">
        <f t="shared" si="24"/>
        <v>14.208781067251465</v>
      </c>
      <c r="P70" s="125"/>
      <c r="Q70" s="125"/>
      <c r="R70" s="125"/>
      <c r="U70" s="125">
        <f>EJ277</f>
        <v>10</v>
      </c>
      <c r="V70" s="125"/>
      <c r="W70" s="125"/>
      <c r="X70" s="125"/>
      <c r="Y70" s="125"/>
      <c r="AA70" s="126">
        <f>(VLOOKUP(AB24+0.1,'Notch Filter Design'!$FN$5:$FO$250,2)*AB25)/((($S$17*1000)/1.73205))</f>
        <v>2.652467913480976E-2</v>
      </c>
      <c r="AB70" s="126"/>
      <c r="AC70" s="126"/>
      <c r="AD70" s="126"/>
      <c r="AE70" s="126"/>
      <c r="AP70" s="8"/>
      <c r="AR70" s="6"/>
      <c r="BK70" s="1" t="str">
        <f>"Capacitor Fuse: "&amp;ROUND(BJ19,0)&amp;" (Minimum Amps)"</f>
        <v>Capacitor Fuse: 100 (Minimum Amps)</v>
      </c>
      <c r="CC70" s="17"/>
      <c r="CF70" s="8"/>
      <c r="CL70" s="107">
        <f t="shared" si="20"/>
        <v>23</v>
      </c>
      <c r="CM70" s="107"/>
      <c r="CN70" s="107"/>
      <c r="CO70" s="107">
        <f t="shared" si="21"/>
        <v>10</v>
      </c>
      <c r="CP70" s="107"/>
      <c r="CQ70" s="107"/>
      <c r="CR70" s="107">
        <f t="shared" si="22"/>
        <v>10</v>
      </c>
      <c r="CS70" s="107"/>
      <c r="CT70" s="107"/>
      <c r="CU70" s="107"/>
      <c r="CV70" s="107">
        <f t="shared" si="23"/>
        <v>15</v>
      </c>
      <c r="CW70" s="107"/>
      <c r="CX70" s="107"/>
      <c r="DW70" s="1">
        <f t="shared" si="19"/>
        <v>13.4</v>
      </c>
      <c r="DX70" s="12" t="str">
        <f t="shared" si="12"/>
        <v>0.0001-2.014678i</v>
      </c>
      <c r="DY70" s="13" t="str">
        <f t="shared" si="17"/>
        <v>0.000000001</v>
      </c>
      <c r="DZ70" s="13" t="str">
        <f t="shared" ref="DZ70:DZ133" si="25">COMPLEX(IF(ABS($AJ$34/$S$34)&lt;0.0000005,0,ROUND($AJ$34/$S$34,6)),IF(ABS($AJ$34*DW70)&lt;0.0000005,0,ROUND($AJ$34*DW70,6)))</f>
        <v>0.010799+14.470223i</v>
      </c>
      <c r="EA70" s="14" t="str">
        <f t="shared" ref="EA70:EA133" si="26">COMPLEX(ROUND($IJ$37,6),ROUND(0.0001,6))</f>
        <v>5399336805.55556+0.0001i</v>
      </c>
      <c r="EC70" s="1" t="str">
        <f t="shared" si="18"/>
        <v>0.010799001+14.470223i</v>
      </c>
      <c r="ED70" s="1" t="str">
        <f t="shared" ref="ED70:ED133" si="27">COMPLEX(ROUND(IMREAL(IMPRODUCT(EC70,EA70)),6),ROUND(IMAGINARY(IMPRODUCT(EC70,EA70)),6))</f>
        <v>58307443.561084+78129607628.4966i</v>
      </c>
      <c r="EE70" s="1" t="str">
        <f t="shared" ref="EE70:EE133" si="28">COMPLEX(ROUND(IMREAL(IMSUM(EA70,EC70)),6),ROUND(IMAGINARY(IMSUM(EA70,EC70)),6))</f>
        <v>5399336805.56636+14.470323i</v>
      </c>
      <c r="EF70" s="1" t="str">
        <f t="shared" si="13"/>
        <v>0.010799+14.470223i</v>
      </c>
      <c r="EG70" s="1" t="str">
        <f t="shared" si="14"/>
        <v>0.010899+12.455545i</v>
      </c>
      <c r="FN70" s="1">
        <f t="shared" si="15"/>
        <v>14</v>
      </c>
      <c r="FO70" s="1">
        <f t="shared" si="16"/>
        <v>13.189812503029184</v>
      </c>
    </row>
    <row r="71" spans="2:171" ht="18" customHeight="1" x14ac:dyDescent="0.25">
      <c r="B71" s="6"/>
      <c r="C71" s="75">
        <f>AD24</f>
        <v>23</v>
      </c>
      <c r="D71" s="75"/>
      <c r="E71" s="75"/>
      <c r="F71" s="75"/>
      <c r="G71" s="75"/>
      <c r="H71" s="24"/>
      <c r="I71" s="124">
        <f>AD25</f>
        <v>10</v>
      </c>
      <c r="J71" s="124"/>
      <c r="K71" s="124"/>
      <c r="L71" s="124"/>
      <c r="M71" s="50"/>
      <c r="O71" s="125">
        <f t="shared" si="24"/>
        <v>11.737688707729472</v>
      </c>
      <c r="P71" s="125"/>
      <c r="Q71" s="125"/>
      <c r="R71" s="125"/>
      <c r="U71" s="125">
        <f>EK277</f>
        <v>10</v>
      </c>
      <c r="V71" s="125"/>
      <c r="W71" s="125"/>
      <c r="X71" s="125"/>
      <c r="Y71" s="125"/>
      <c r="AA71" s="126">
        <f>(VLOOKUP(AD24+0.1,'Notch Filter Design'!$FN$5:$FO$250,2)*AD25)/((($S$17*1000)/1.73205))</f>
        <v>3.2867534295437088E-2</v>
      </c>
      <c r="AB71" s="126"/>
      <c r="AC71" s="126"/>
      <c r="AD71" s="126"/>
      <c r="AE71" s="126"/>
      <c r="AP71" s="8"/>
      <c r="AR71" s="6"/>
      <c r="CC71" s="17"/>
      <c r="CF71" s="8"/>
      <c r="CL71" s="107">
        <f t="shared" si="20"/>
        <v>25</v>
      </c>
      <c r="CM71" s="107"/>
      <c r="CN71" s="107"/>
      <c r="CO71" s="107">
        <f t="shared" si="21"/>
        <v>10</v>
      </c>
      <c r="CP71" s="107"/>
      <c r="CQ71" s="107"/>
      <c r="CR71" s="107">
        <f t="shared" si="22"/>
        <v>10</v>
      </c>
      <c r="CS71" s="107"/>
      <c r="CT71" s="107"/>
      <c r="CU71" s="107"/>
      <c r="CV71" s="107">
        <f t="shared" si="23"/>
        <v>15</v>
      </c>
      <c r="CW71" s="107"/>
      <c r="CX71" s="107"/>
      <c r="DW71" s="1">
        <f t="shared" si="19"/>
        <v>13.6</v>
      </c>
      <c r="DX71" s="12" t="str">
        <f t="shared" ref="DX71:DX134" si="29">COMPLEX(ROUND(0.0001,6),ROUND(-$AJ$30/DW71,6))</f>
        <v>0.0001-1.98505i</v>
      </c>
      <c r="DY71" s="13" t="str">
        <f t="shared" si="17"/>
        <v>0.000000001</v>
      </c>
      <c r="DZ71" s="13" t="str">
        <f t="shared" si="25"/>
        <v>0.010799+14.686196i</v>
      </c>
      <c r="EA71" s="14" t="str">
        <f t="shared" si="26"/>
        <v>5399336805.55556+0.0001i</v>
      </c>
      <c r="EC71" s="1" t="str">
        <f t="shared" si="18"/>
        <v>0.010799001+14.686196i</v>
      </c>
      <c r="ED71" s="1" t="str">
        <f t="shared" si="27"/>
        <v>58307443.561063+79295718596.4028i</v>
      </c>
      <c r="EE71" s="1" t="str">
        <f t="shared" si="28"/>
        <v>5399336805.56636+14.686296i</v>
      </c>
      <c r="EF71" s="1" t="str">
        <f t="shared" ref="EF71:EF134" si="30">COMPLEX(ROUND(IMREAL(IMDIV(ED71,EE71)),6),ROUND(IMAGINARY(IMDIV(ED71,EE71)),6))</f>
        <v>0.010799+14.686196i</v>
      </c>
      <c r="EG71" s="1" t="str">
        <f t="shared" ref="EG71:EG134" si="31">COMPLEX(ROUND(IMREAL(IMSUM(EF71,DX71)),6),ROUND(IMAGINARY(IMSUM(EF71,DX71)),6))</f>
        <v>0.010899+12.701146i</v>
      </c>
      <c r="FN71" s="1">
        <f t="shared" si="15"/>
        <v>14.2</v>
      </c>
      <c r="FO71" s="1">
        <f t="shared" si="16"/>
        <v>13.43294642152514</v>
      </c>
    </row>
    <row r="72" spans="2:171" ht="18" customHeight="1" x14ac:dyDescent="0.25">
      <c r="B72" s="6"/>
      <c r="C72" s="75">
        <f>AF24</f>
        <v>25</v>
      </c>
      <c r="D72" s="75"/>
      <c r="E72" s="75"/>
      <c r="F72" s="75"/>
      <c r="G72" s="75"/>
      <c r="H72" s="24"/>
      <c r="I72" s="124">
        <f>AF25</f>
        <v>10</v>
      </c>
      <c r="J72" s="124"/>
      <c r="K72" s="124"/>
      <c r="L72" s="124"/>
      <c r="M72" s="50"/>
      <c r="O72" s="125">
        <f t="shared" si="24"/>
        <v>10.798673611111113</v>
      </c>
      <c r="P72" s="125"/>
      <c r="Q72" s="125"/>
      <c r="R72" s="125"/>
      <c r="U72" s="125">
        <f>EL277</f>
        <v>10</v>
      </c>
      <c r="V72" s="125"/>
      <c r="W72" s="125"/>
      <c r="X72" s="125"/>
      <c r="Y72" s="125"/>
      <c r="AA72" s="126">
        <f>(VLOOKUP(AF24+0.1,'Notch Filter Design'!$FN$5:$FO$250,2)*AF25)/((($S$17*1000)/1.73205))</f>
        <v>3.5997776146130152E-2</v>
      </c>
      <c r="AB72" s="126"/>
      <c r="AC72" s="126"/>
      <c r="AD72" s="126"/>
      <c r="AE72" s="126"/>
      <c r="AP72" s="8"/>
      <c r="AR72" s="6"/>
      <c r="CC72" s="17"/>
      <c r="CF72" s="8"/>
      <c r="CL72" s="107">
        <f t="shared" si="20"/>
        <v>29</v>
      </c>
      <c r="CM72" s="107"/>
      <c r="CN72" s="107"/>
      <c r="CO72" s="107">
        <f t="shared" si="21"/>
        <v>0</v>
      </c>
      <c r="CP72" s="107"/>
      <c r="CQ72" s="107"/>
      <c r="CR72" s="107">
        <f t="shared" si="22"/>
        <v>0</v>
      </c>
      <c r="CS72" s="107"/>
      <c r="CT72" s="107"/>
      <c r="CU72" s="107"/>
      <c r="CV72" s="107">
        <f t="shared" si="23"/>
        <v>0</v>
      </c>
      <c r="CW72" s="107"/>
      <c r="CX72" s="107"/>
      <c r="DV72" s="1" t="s">
        <v>11</v>
      </c>
      <c r="DW72" s="1">
        <f t="shared" si="19"/>
        <v>13.8</v>
      </c>
      <c r="DX72" s="12" t="str">
        <f t="shared" si="29"/>
        <v>0.0001-1.956281i</v>
      </c>
      <c r="DY72" s="13" t="str">
        <f t="shared" si="17"/>
        <v>0.000000001</v>
      </c>
      <c r="DZ72" s="13" t="str">
        <f t="shared" si="25"/>
        <v>0.010799+14.90217i</v>
      </c>
      <c r="EA72" s="14" t="str">
        <f t="shared" si="26"/>
        <v>5399336805.55556+0.0001i</v>
      </c>
      <c r="EC72" s="1" t="str">
        <f t="shared" si="18"/>
        <v>0.010799001+14.90217i</v>
      </c>
      <c r="ED72" s="1" t="str">
        <f t="shared" si="27"/>
        <v>58307443.561041+80461834963.6459i</v>
      </c>
      <c r="EE72" s="1" t="str">
        <f t="shared" si="28"/>
        <v>5399336805.56636+14.90227i</v>
      </c>
      <c r="EF72" s="1" t="str">
        <f t="shared" si="30"/>
        <v>0.010799+14.90217i</v>
      </c>
      <c r="EG72" s="1" t="str">
        <f t="shared" si="31"/>
        <v>0.010899+12.945889i</v>
      </c>
      <c r="FN72" s="1">
        <f t="shared" si="15"/>
        <v>14.4</v>
      </c>
      <c r="FO72" s="1">
        <f t="shared" si="16"/>
        <v>13.675324343159142</v>
      </c>
    </row>
    <row r="73" spans="2:171" ht="18" customHeight="1" x14ac:dyDescent="0.25">
      <c r="B73" s="6"/>
      <c r="C73" s="75">
        <f>AH24</f>
        <v>29</v>
      </c>
      <c r="D73" s="75"/>
      <c r="E73" s="75"/>
      <c r="F73" s="75"/>
      <c r="G73" s="75"/>
      <c r="H73" s="24"/>
      <c r="I73" s="124">
        <f>AH25</f>
        <v>0</v>
      </c>
      <c r="J73" s="124"/>
      <c r="K73" s="124"/>
      <c r="L73" s="124"/>
      <c r="M73" s="50"/>
      <c r="O73" s="125">
        <f t="shared" si="24"/>
        <v>0</v>
      </c>
      <c r="P73" s="125"/>
      <c r="Q73" s="125"/>
      <c r="R73" s="125"/>
      <c r="U73" s="125">
        <f>EM277</f>
        <v>0</v>
      </c>
      <c r="V73" s="125"/>
      <c r="W73" s="125"/>
      <c r="X73" s="125"/>
      <c r="Y73" s="125"/>
      <c r="AA73" s="126">
        <f>(VLOOKUP(AH24+0.1,'Notch Filter Design'!$FN$5:$FO$250,2)*AH25)/((($S$17*1000)/1.73205))</f>
        <v>0</v>
      </c>
      <c r="AB73" s="126"/>
      <c r="AC73" s="126"/>
      <c r="AD73" s="126"/>
      <c r="AE73" s="126"/>
      <c r="AP73" s="8"/>
      <c r="AR73" s="6"/>
      <c r="AT73" s="107"/>
      <c r="AU73" s="107"/>
      <c r="AV73" s="107"/>
      <c r="AW73" s="107"/>
      <c r="AX73" s="107"/>
      <c r="BK73" s="1" t="str">
        <f>"Capacitor: Qty("&amp;S29*3&amp;"), "&amp;ROUND(AJ28,0)&amp;" kvar, "&amp;S28&amp;" kV, "&amp;ROUND(CA19,2)&amp;" µF/Can"</f>
        <v>Capacitor: Qty(15), 735 kvar, 9.96 kV, 19.65 µF/Can</v>
      </c>
      <c r="CC73" s="17"/>
      <c r="CF73" s="8"/>
      <c r="CL73" s="107">
        <f t="shared" si="20"/>
        <v>31</v>
      </c>
      <c r="CM73" s="107"/>
      <c r="CN73" s="107"/>
      <c r="CO73" s="107">
        <f t="shared" si="21"/>
        <v>0</v>
      </c>
      <c r="CP73" s="107"/>
      <c r="CQ73" s="107"/>
      <c r="CR73" s="107">
        <f t="shared" si="22"/>
        <v>0</v>
      </c>
      <c r="CS73" s="107"/>
      <c r="CT73" s="107"/>
      <c r="CU73" s="107"/>
      <c r="CV73" s="107">
        <f t="shared" si="23"/>
        <v>0</v>
      </c>
      <c r="CW73" s="107"/>
      <c r="CX73" s="107"/>
      <c r="DW73" s="1">
        <f t="shared" si="19"/>
        <v>14</v>
      </c>
      <c r="DX73" s="12" t="str">
        <f t="shared" si="29"/>
        <v>0.0001-1.928335i</v>
      </c>
      <c r="DY73" s="13" t="str">
        <f t="shared" si="17"/>
        <v>0.000000001</v>
      </c>
      <c r="DZ73" s="13" t="str">
        <f t="shared" si="25"/>
        <v>0.010799+15.118143i</v>
      </c>
      <c r="EA73" s="14" t="str">
        <f t="shared" si="26"/>
        <v>5399336805.55556+0.0001i</v>
      </c>
      <c r="EC73" s="1" t="str">
        <f t="shared" si="18"/>
        <v>0.010799001+15.118143i</v>
      </c>
      <c r="ED73" s="1" t="str">
        <f t="shared" si="27"/>
        <v>58307443.56102+81627945931.5522i</v>
      </c>
      <c r="EE73" s="1" t="str">
        <f t="shared" si="28"/>
        <v>5399336805.56636+15.118243i</v>
      </c>
      <c r="EF73" s="1" t="str">
        <f t="shared" si="30"/>
        <v>0.010799+15.118143i</v>
      </c>
      <c r="EG73" s="1" t="str">
        <f t="shared" si="31"/>
        <v>0.010899+13.189808i</v>
      </c>
      <c r="FN73" s="1">
        <f t="shared" si="15"/>
        <v>14.6</v>
      </c>
      <c r="FO73" s="1">
        <f t="shared" si="16"/>
        <v>13.916979267744349</v>
      </c>
    </row>
    <row r="74" spans="2:171" ht="18" customHeight="1" x14ac:dyDescent="0.25">
      <c r="B74" s="6"/>
      <c r="C74" s="75">
        <f>AJ24</f>
        <v>31</v>
      </c>
      <c r="D74" s="75"/>
      <c r="E74" s="75"/>
      <c r="F74" s="75"/>
      <c r="G74" s="75"/>
      <c r="H74" s="24"/>
      <c r="I74" s="124">
        <f>AJ25</f>
        <v>0</v>
      </c>
      <c r="J74" s="124"/>
      <c r="K74" s="124"/>
      <c r="L74" s="124"/>
      <c r="M74" s="50"/>
      <c r="O74" s="125">
        <f t="shared" si="24"/>
        <v>0</v>
      </c>
      <c r="P74" s="125"/>
      <c r="Q74" s="125"/>
      <c r="R74" s="125"/>
      <c r="U74" s="125">
        <f>EN277</f>
        <v>0</v>
      </c>
      <c r="V74" s="125"/>
      <c r="W74" s="125"/>
      <c r="X74" s="125"/>
      <c r="Y74" s="125"/>
      <c r="AA74" s="126">
        <f>(VLOOKUP(AJ24+0.1,'Notch Filter Design'!$FN$5:$FO$250,2)*AJ25)/((($S$17*1000)/1.73205))</f>
        <v>0</v>
      </c>
      <c r="AB74" s="126"/>
      <c r="AC74" s="126"/>
      <c r="AD74" s="126"/>
      <c r="AE74" s="126"/>
      <c r="AP74" s="8"/>
      <c r="AR74" s="6"/>
      <c r="CC74" s="17"/>
      <c r="CE74" s="17"/>
      <c r="CF74" s="8"/>
      <c r="CL74" s="107">
        <f t="shared" si="20"/>
        <v>35</v>
      </c>
      <c r="CM74" s="107"/>
      <c r="CN74" s="107"/>
      <c r="CO74" s="107">
        <f t="shared" si="21"/>
        <v>10</v>
      </c>
      <c r="CP74" s="107"/>
      <c r="CQ74" s="107"/>
      <c r="CR74" s="107">
        <f t="shared" si="22"/>
        <v>10</v>
      </c>
      <c r="CS74" s="107"/>
      <c r="CT74" s="107"/>
      <c r="CU74" s="107"/>
      <c r="CV74" s="107">
        <f t="shared" si="23"/>
        <v>15</v>
      </c>
      <c r="CW74" s="107"/>
      <c r="CX74" s="107"/>
      <c r="DW74" s="1">
        <f t="shared" si="19"/>
        <v>14.2</v>
      </c>
      <c r="DX74" s="12" t="str">
        <f t="shared" si="29"/>
        <v>0.0001-1.901175i</v>
      </c>
      <c r="DY74" s="13" t="str">
        <f t="shared" si="17"/>
        <v>0.000000001</v>
      </c>
      <c r="DZ74" s="13" t="str">
        <f t="shared" si="25"/>
        <v>0.010799+15.334117i</v>
      </c>
      <c r="EA74" s="14" t="str">
        <f t="shared" si="26"/>
        <v>5399336805.55556+0.0001i</v>
      </c>
      <c r="EC74" s="1" t="str">
        <f t="shared" si="18"/>
        <v>0.010799001+15.334117i</v>
      </c>
      <c r="ED74" s="1" t="str">
        <f t="shared" si="27"/>
        <v>58307443.560998+82794062298.7952i</v>
      </c>
      <c r="EE74" s="1" t="str">
        <f t="shared" si="28"/>
        <v>5399336805.56636+15.334217i</v>
      </c>
      <c r="EF74" s="1" t="str">
        <f t="shared" si="30"/>
        <v>0.010799+15.334117i</v>
      </c>
      <c r="EG74" s="1" t="str">
        <f t="shared" si="31"/>
        <v>0.010899+13.432942i</v>
      </c>
      <c r="FN74" s="1">
        <f t="shared" si="15"/>
        <v>14.8</v>
      </c>
      <c r="FO74" s="1">
        <f t="shared" si="16"/>
        <v>14.157941195109197</v>
      </c>
    </row>
    <row r="75" spans="2:171" ht="18" customHeight="1" x14ac:dyDescent="0.25">
      <c r="B75" s="6"/>
      <c r="C75" s="75">
        <f>AL24</f>
        <v>35</v>
      </c>
      <c r="D75" s="75"/>
      <c r="E75" s="75"/>
      <c r="F75" s="75"/>
      <c r="G75" s="75"/>
      <c r="H75" s="24"/>
      <c r="I75" s="124">
        <f>AL25</f>
        <v>10</v>
      </c>
      <c r="J75" s="124"/>
      <c r="K75" s="124"/>
      <c r="L75" s="124"/>
      <c r="M75" s="50"/>
      <c r="O75" s="125">
        <f t="shared" si="24"/>
        <v>7.7133382936507955</v>
      </c>
      <c r="P75" s="125"/>
      <c r="Q75" s="125"/>
      <c r="R75" s="125"/>
      <c r="U75" s="125">
        <f>EO277</f>
        <v>10</v>
      </c>
      <c r="V75" s="125"/>
      <c r="W75" s="125"/>
      <c r="X75" s="125"/>
      <c r="Y75" s="125"/>
      <c r="AA75" s="126">
        <f>(VLOOKUP(AL24+0.1,'Notch Filter Design'!$FN$5:$FO$250,2)*AL25)/((($S$17*1000)/1.73205))</f>
        <v>5.1425391778478012E-2</v>
      </c>
      <c r="AB75" s="126"/>
      <c r="AC75" s="126"/>
      <c r="AD75" s="126"/>
      <c r="AE75" s="126"/>
      <c r="AP75" s="8"/>
      <c r="AR75" s="6"/>
      <c r="CC75" s="17"/>
      <c r="CE75" s="17"/>
      <c r="CF75" s="8"/>
      <c r="CL75" s="107">
        <f t="shared" si="20"/>
        <v>37</v>
      </c>
      <c r="CM75" s="107"/>
      <c r="CN75" s="107"/>
      <c r="CO75" s="107">
        <f t="shared" si="21"/>
        <v>10</v>
      </c>
      <c r="CP75" s="107"/>
      <c r="CQ75" s="107"/>
      <c r="CR75" s="107">
        <f t="shared" si="22"/>
        <v>10.000000000000002</v>
      </c>
      <c r="CS75" s="107"/>
      <c r="CT75" s="107"/>
      <c r="CU75" s="107"/>
      <c r="CV75" s="107">
        <f t="shared" si="23"/>
        <v>15.000000000000004</v>
      </c>
      <c r="CW75" s="107"/>
      <c r="CX75" s="107"/>
      <c r="DW75" s="1">
        <f t="shared" si="19"/>
        <v>14.4</v>
      </c>
      <c r="DX75" s="12" t="str">
        <f t="shared" si="29"/>
        <v>0.0001-1.87477i</v>
      </c>
      <c r="DY75" s="13" t="str">
        <f t="shared" si="17"/>
        <v>0.000000001</v>
      </c>
      <c r="DZ75" s="13" t="str">
        <f t="shared" si="25"/>
        <v>0.010799+15.55009i</v>
      </c>
      <c r="EA75" s="14" t="str">
        <f t="shared" si="26"/>
        <v>5399336805.55556+0.0001i</v>
      </c>
      <c r="EC75" s="1" t="str">
        <f t="shared" si="18"/>
        <v>0.010799001+15.55009i</v>
      </c>
      <c r="ED75" s="1" t="str">
        <f t="shared" si="27"/>
        <v>58307443.560976+83960173266.7015i</v>
      </c>
      <c r="EE75" s="1" t="str">
        <f t="shared" si="28"/>
        <v>5399336805.56636+15.55019i</v>
      </c>
      <c r="EF75" s="1" t="str">
        <f t="shared" si="30"/>
        <v>0.010799+15.55009i</v>
      </c>
      <c r="EG75" s="1" t="str">
        <f t="shared" si="31"/>
        <v>0.010899+13.67532i</v>
      </c>
      <c r="FN75" s="1">
        <f t="shared" si="15"/>
        <v>15</v>
      </c>
      <c r="FO75" s="1">
        <f t="shared" si="16"/>
        <v>14.398235125096479</v>
      </c>
    </row>
    <row r="76" spans="2:171" ht="18" customHeight="1" x14ac:dyDescent="0.25">
      <c r="B76" s="6"/>
      <c r="C76" s="75">
        <f>AN24</f>
        <v>37</v>
      </c>
      <c r="D76" s="75"/>
      <c r="E76" s="75"/>
      <c r="F76" s="75"/>
      <c r="G76" s="75"/>
      <c r="H76" s="24"/>
      <c r="I76" s="127">
        <f>AN25</f>
        <v>10</v>
      </c>
      <c r="J76" s="127"/>
      <c r="K76" s="127"/>
      <c r="L76" s="127"/>
      <c r="M76" s="50"/>
      <c r="O76" s="128">
        <f t="shared" si="24"/>
        <v>7.296401088588591</v>
      </c>
      <c r="P76" s="128"/>
      <c r="Q76" s="128"/>
      <c r="R76" s="128"/>
      <c r="U76" s="125">
        <f>EP277</f>
        <v>10.000000000000002</v>
      </c>
      <c r="V76" s="125"/>
      <c r="W76" s="125"/>
      <c r="X76" s="125"/>
      <c r="Y76" s="125"/>
      <c r="AA76" s="129">
        <f>(VLOOKUP(AN24+0.1,'Notch Filter Design'!$FN$5:$FO$250,2)*AN25)/((($S$17*1000)/1.73205))</f>
        <v>5.4483116887908918E-2</v>
      </c>
      <c r="AB76" s="129"/>
      <c r="AC76" s="129"/>
      <c r="AD76" s="129"/>
      <c r="AE76" s="129"/>
      <c r="AP76" s="8"/>
      <c r="AR76" s="6"/>
      <c r="CC76" s="17"/>
      <c r="CE76" s="17"/>
      <c r="CF76" s="8"/>
      <c r="DW76" s="1">
        <f t="shared" si="19"/>
        <v>14.6</v>
      </c>
      <c r="DX76" s="12" t="str">
        <f t="shared" si="29"/>
        <v>0.0001-1.849088i</v>
      </c>
      <c r="DY76" s="13" t="str">
        <f t="shared" si="17"/>
        <v>0.000000001</v>
      </c>
      <c r="DZ76" s="13" t="str">
        <f t="shared" si="25"/>
        <v>0.010799+15.766063i</v>
      </c>
      <c r="EA76" s="14" t="str">
        <f t="shared" si="26"/>
        <v>5399336805.55556+0.0001i</v>
      </c>
      <c r="EC76" s="1" t="str">
        <f t="shared" si="18"/>
        <v>0.010799001+15.766063i</v>
      </c>
      <c r="ED76" s="1" t="str">
        <f t="shared" si="27"/>
        <v>58307443.560955+85126284234.6077i</v>
      </c>
      <c r="EE76" s="1" t="str">
        <f t="shared" si="28"/>
        <v>5399336805.56636+15.766163i</v>
      </c>
      <c r="EF76" s="1" t="str">
        <f t="shared" si="30"/>
        <v>0.010799+15.766063i</v>
      </c>
      <c r="EG76" s="1" t="str">
        <f t="shared" si="31"/>
        <v>0.010899+13.916975i</v>
      </c>
      <c r="FN76" s="1">
        <f t="shared" si="15"/>
        <v>15.2</v>
      </c>
      <c r="FO76" s="1">
        <f t="shared" si="16"/>
        <v>14.637890057559423</v>
      </c>
    </row>
    <row r="77" spans="2:171" ht="18" customHeight="1" x14ac:dyDescent="0.25">
      <c r="B77" s="6"/>
      <c r="C77" s="17"/>
      <c r="D77" s="17"/>
      <c r="E77" s="17"/>
      <c r="F77" s="17"/>
      <c r="G77" s="17"/>
      <c r="H77" s="29" t="s">
        <v>107</v>
      </c>
      <c r="I77" s="122">
        <f>AK21</f>
        <v>314.88575741906226</v>
      </c>
      <c r="J77" s="122"/>
      <c r="K77" s="122"/>
      <c r="L77" s="122"/>
      <c r="M77" s="53"/>
      <c r="O77" s="118">
        <f>SQRT(SUM(EA261:EH261)+SUM(EI261:EP261))</f>
        <v>7535.9885317495264</v>
      </c>
      <c r="P77" s="118"/>
      <c r="Q77" s="118"/>
      <c r="R77" s="118"/>
      <c r="U77" s="122">
        <f>SQRT(SUM(EA285:EP285))</f>
        <v>314.88575741906226</v>
      </c>
      <c r="V77" s="122"/>
      <c r="W77" s="122"/>
      <c r="X77" s="122"/>
      <c r="Y77" s="122"/>
      <c r="AA77" s="123">
        <f>SQRT(AA62^2+AA63^2+AA64^2+AA65^2+AA66^2+AA67^2+AA68^2+AA69^2+AA70^2+AA71^2+AA72^2+AA73^2+AA74^2+AA75^2+AA76^2)</f>
        <v>0.14563097440137912</v>
      </c>
      <c r="AB77" s="123"/>
      <c r="AC77" s="123"/>
      <c r="AD77" s="123"/>
      <c r="AE77" s="123"/>
      <c r="AP77" s="8"/>
      <c r="AR77" s="6"/>
      <c r="CE77" s="17"/>
      <c r="CF77" s="8"/>
      <c r="DW77" s="1">
        <f t="shared" si="19"/>
        <v>14.8</v>
      </c>
      <c r="DX77" s="12" t="str">
        <f t="shared" si="29"/>
        <v>0.0001-1.8241i</v>
      </c>
      <c r="DY77" s="13" t="str">
        <f t="shared" si="17"/>
        <v>0.000000001</v>
      </c>
      <c r="DZ77" s="13" t="str">
        <f t="shared" si="25"/>
        <v>0.010799+15.982037i</v>
      </c>
      <c r="EA77" s="14" t="str">
        <f t="shared" si="26"/>
        <v>5399336805.55556+0.0001i</v>
      </c>
      <c r="EC77" s="1" t="str">
        <f t="shared" si="18"/>
        <v>0.010799001+15.982037i</v>
      </c>
      <c r="ED77" s="1" t="str">
        <f t="shared" si="27"/>
        <v>58307443.560933+86292400601.8508i</v>
      </c>
      <c r="EE77" s="1" t="str">
        <f t="shared" si="28"/>
        <v>5399336805.56636+15.982137i</v>
      </c>
      <c r="EF77" s="1" t="str">
        <f t="shared" si="30"/>
        <v>0.010799+15.982037i</v>
      </c>
      <c r="EG77" s="1" t="str">
        <f t="shared" si="31"/>
        <v>0.010899+14.157937i</v>
      </c>
      <c r="FN77" s="1">
        <f t="shared" si="15"/>
        <v>15.4</v>
      </c>
      <c r="FO77" s="1">
        <f t="shared" si="16"/>
        <v>14.876929992363243</v>
      </c>
    </row>
    <row r="78" spans="2:171" ht="18" customHeight="1" x14ac:dyDescent="0.25">
      <c r="B78" s="6"/>
      <c r="C78" s="33" t="s">
        <v>108</v>
      </c>
      <c r="AP78" s="8"/>
      <c r="AR78" s="6"/>
      <c r="CE78" s="17"/>
      <c r="CF78" s="8"/>
      <c r="DW78" s="1">
        <f t="shared" si="19"/>
        <v>15</v>
      </c>
      <c r="DX78" s="12" t="str">
        <f t="shared" si="29"/>
        <v>0.0001-1.799779i</v>
      </c>
      <c r="DY78" s="13" t="str">
        <f t="shared" si="17"/>
        <v>0.000000001</v>
      </c>
      <c r="DZ78" s="13" t="str">
        <f t="shared" si="25"/>
        <v>0.010799+16.19801i</v>
      </c>
      <c r="EA78" s="14" t="str">
        <f t="shared" si="26"/>
        <v>5399336805.55556+0.0001i</v>
      </c>
      <c r="EC78" s="1" t="str">
        <f t="shared" si="18"/>
        <v>0.010799001+16.19801i</v>
      </c>
      <c r="ED78" s="1" t="str">
        <f t="shared" si="27"/>
        <v>58307443.560912+87458511569.757i</v>
      </c>
      <c r="EE78" s="1" t="str">
        <f t="shared" si="28"/>
        <v>5399336805.56636+16.19811i</v>
      </c>
      <c r="EF78" s="1" t="str">
        <f t="shared" si="30"/>
        <v>0.010799+16.19801i</v>
      </c>
      <c r="EG78" s="1" t="str">
        <f t="shared" si="31"/>
        <v>0.010899+14.398231i</v>
      </c>
      <c r="FN78" s="1">
        <f t="shared" si="15"/>
        <v>15.6</v>
      </c>
      <c r="FO78" s="1">
        <f t="shared" si="16"/>
        <v>15.115377929382941</v>
      </c>
    </row>
    <row r="79" spans="2:171" ht="18" customHeight="1" x14ac:dyDescent="0.25">
      <c r="B79" s="6"/>
      <c r="AP79" s="8"/>
      <c r="AR79" s="6"/>
      <c r="CE79" s="17"/>
      <c r="CF79" s="8"/>
      <c r="DW79" s="1">
        <f t="shared" si="19"/>
        <v>15.2</v>
      </c>
      <c r="DX79" s="12" t="str">
        <f t="shared" si="29"/>
        <v>0.0001-1.776098i</v>
      </c>
      <c r="DY79" s="13" t="str">
        <f t="shared" si="17"/>
        <v>0.000000001</v>
      </c>
      <c r="DZ79" s="13" t="str">
        <f t="shared" si="25"/>
        <v>0.010799+16.413984i</v>
      </c>
      <c r="EA79" s="14" t="str">
        <f t="shared" si="26"/>
        <v>5399336805.55556+0.0001i</v>
      </c>
      <c r="EC79" s="1" t="str">
        <f t="shared" si="18"/>
        <v>0.010799001+16.413984i</v>
      </c>
      <c r="ED79" s="1" t="str">
        <f t="shared" si="27"/>
        <v>58307443.56089+88624627937.0001i</v>
      </c>
      <c r="EE79" s="1" t="str">
        <f t="shared" si="28"/>
        <v>5399336805.56636+16.414084i</v>
      </c>
      <c r="EF79" s="1" t="str">
        <f t="shared" si="30"/>
        <v>0.010799+16.413984i</v>
      </c>
      <c r="EG79" s="1" t="str">
        <f t="shared" si="31"/>
        <v>0.010899+14.637886i</v>
      </c>
      <c r="FN79" s="1">
        <f t="shared" si="15"/>
        <v>15.8</v>
      </c>
      <c r="FO79" s="1">
        <f t="shared" si="16"/>
        <v>15.353256868502202</v>
      </c>
    </row>
    <row r="80" spans="2:171" ht="18" customHeight="1" x14ac:dyDescent="0.25">
      <c r="B80" s="6"/>
      <c r="C80" s="17"/>
      <c r="E80" s="17"/>
      <c r="F80" s="17"/>
      <c r="G80" s="17"/>
      <c r="H80" s="17"/>
      <c r="I80" s="17"/>
      <c r="J80" s="17"/>
      <c r="K80" s="17"/>
      <c r="L80" s="17"/>
      <c r="M80" s="17"/>
      <c r="N80" s="17"/>
      <c r="O80" s="17"/>
      <c r="X80" s="17"/>
      <c r="Y80" s="17"/>
      <c r="Z80" s="17"/>
      <c r="AA80" s="17"/>
      <c r="AB80" s="17"/>
      <c r="AG80" s="29"/>
      <c r="AM80" s="17"/>
      <c r="AN80" s="17"/>
      <c r="AP80" s="8"/>
      <c r="AR80" s="6"/>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8"/>
      <c r="DW80" s="1">
        <f t="shared" si="19"/>
        <v>15.4</v>
      </c>
      <c r="DX80" s="12" t="str">
        <f t="shared" si="29"/>
        <v>0.0001-1.753031i</v>
      </c>
      <c r="DY80" s="13" t="str">
        <f t="shared" si="17"/>
        <v>0.000000001</v>
      </c>
      <c r="DZ80" s="13" t="str">
        <f t="shared" si="25"/>
        <v>0.010799+16.629957i</v>
      </c>
      <c r="EA80" s="14" t="str">
        <f t="shared" si="26"/>
        <v>5399336805.55556+0.0001i</v>
      </c>
      <c r="EC80" s="1" t="str">
        <f t="shared" si="18"/>
        <v>0.010799001+16.629957i</v>
      </c>
      <c r="ED80" s="1" t="str">
        <f t="shared" si="27"/>
        <v>58307443.560868+89790738904.9063i</v>
      </c>
      <c r="EE80" s="1" t="str">
        <f t="shared" si="28"/>
        <v>5399336805.56636+16.630057i</v>
      </c>
      <c r="EF80" s="1" t="str">
        <f t="shared" si="30"/>
        <v>0.010799+16.629957i</v>
      </c>
      <c r="EG80" s="1" t="str">
        <f t="shared" si="31"/>
        <v>0.010899+14.876926i</v>
      </c>
      <c r="FN80" s="1">
        <f t="shared" si="15"/>
        <v>16</v>
      </c>
      <c r="FO80" s="1">
        <f t="shared" si="16"/>
        <v>15.590588809612868</v>
      </c>
    </row>
    <row r="81" spans="2:174" ht="18" customHeight="1" x14ac:dyDescent="0.25">
      <c r="B81" s="6"/>
      <c r="C81" s="17"/>
      <c r="E81" s="17"/>
      <c r="F81" s="17"/>
      <c r="G81" s="17"/>
      <c r="H81" s="17"/>
      <c r="I81" s="17"/>
      <c r="J81" s="17"/>
      <c r="K81" s="17"/>
      <c r="S81" s="17"/>
      <c r="T81" s="17"/>
      <c r="U81" s="17"/>
      <c r="V81" s="17"/>
      <c r="W81" s="17"/>
      <c r="X81" s="17"/>
      <c r="Y81" s="17"/>
      <c r="Z81" s="17"/>
      <c r="AA81" s="17"/>
      <c r="AB81" s="17"/>
      <c r="AC81" s="17"/>
      <c r="AD81" s="17"/>
      <c r="AE81" s="17"/>
      <c r="AF81" s="17"/>
      <c r="AG81" s="17"/>
      <c r="AH81" s="17"/>
      <c r="AI81" s="17"/>
      <c r="AJ81" s="17"/>
      <c r="AK81" s="17"/>
      <c r="AL81" s="17"/>
      <c r="AM81" s="17"/>
      <c r="AN81" s="17"/>
      <c r="AP81" s="8"/>
      <c r="AR81" s="6"/>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8"/>
      <c r="DW81" s="1">
        <f t="shared" si="19"/>
        <v>15.6</v>
      </c>
      <c r="DX81" s="12" t="str">
        <f t="shared" si="29"/>
        <v>0.0001-1.730557i</v>
      </c>
      <c r="DY81" s="13" t="str">
        <f t="shared" si="17"/>
        <v>0.000000001</v>
      </c>
      <c r="DZ81" s="13" t="str">
        <f t="shared" si="25"/>
        <v>0.010799+16.845931i</v>
      </c>
      <c r="EA81" s="14" t="str">
        <f t="shared" si="26"/>
        <v>5399336805.55556+0.0001i</v>
      </c>
      <c r="EC81" s="1" t="str">
        <f t="shared" si="18"/>
        <v>0.010799001+16.845931i</v>
      </c>
      <c r="ED81" s="1" t="str">
        <f t="shared" si="27"/>
        <v>58307443.560847+90956855272.1494i</v>
      </c>
      <c r="EE81" s="1" t="str">
        <f t="shared" si="28"/>
        <v>5399336805.56636+16.846031i</v>
      </c>
      <c r="EF81" s="1" t="str">
        <f t="shared" si="30"/>
        <v>0.010799+16.845931i</v>
      </c>
      <c r="EG81" s="1" t="str">
        <f t="shared" si="31"/>
        <v>0.010899+15.115374i</v>
      </c>
      <c r="FN81" s="1">
        <f t="shared" si="15"/>
        <v>16.2</v>
      </c>
      <c r="FO81" s="1">
        <f t="shared" si="16"/>
        <v>15.827392752614751</v>
      </c>
    </row>
    <row r="82" spans="2:174" ht="18" customHeight="1" x14ac:dyDescent="0.25">
      <c r="B82" s="6"/>
      <c r="C82" s="17"/>
      <c r="D82" s="17"/>
      <c r="E82" s="17"/>
      <c r="F82" s="17"/>
      <c r="G82" s="17"/>
      <c r="H82" s="17"/>
      <c r="I82" s="17"/>
      <c r="N82" s="17"/>
      <c r="O82" s="17"/>
      <c r="P82" s="17"/>
      <c r="Q82" s="17"/>
      <c r="R82" s="17"/>
      <c r="S82" s="17"/>
      <c r="T82" s="17"/>
      <c r="U82" s="17"/>
      <c r="V82" s="17"/>
      <c r="AA82" s="17"/>
      <c r="AB82" s="17"/>
      <c r="AC82" s="17"/>
      <c r="AD82" s="17"/>
      <c r="AE82" s="17"/>
      <c r="AF82" s="17"/>
      <c r="AG82" s="17"/>
      <c r="AH82" s="17"/>
      <c r="AI82" s="17"/>
      <c r="AJ82" s="17"/>
      <c r="AK82" s="17"/>
      <c r="AL82" s="17"/>
      <c r="AM82" s="17"/>
      <c r="AN82" s="17"/>
      <c r="AP82" s="8"/>
      <c r="AR82" s="6"/>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8"/>
      <c r="DW82" s="1">
        <f t="shared" si="19"/>
        <v>15.8</v>
      </c>
      <c r="DX82" s="12" t="str">
        <f t="shared" si="29"/>
        <v>0.0001-1.708651i</v>
      </c>
      <c r="DY82" s="13" t="str">
        <f t="shared" si="17"/>
        <v>0.000000001</v>
      </c>
      <c r="DZ82" s="13" t="str">
        <f t="shared" si="25"/>
        <v>0.010799+17.061904i</v>
      </c>
      <c r="EA82" s="14" t="str">
        <f t="shared" si="26"/>
        <v>5399336805.55556+0.0001i</v>
      </c>
      <c r="EC82" s="1" t="str">
        <f t="shared" si="18"/>
        <v>0.010799001+17.061904i</v>
      </c>
      <c r="ED82" s="1" t="str">
        <f t="shared" si="27"/>
        <v>58307443.560825+92122966240.0556i</v>
      </c>
      <c r="EE82" s="1" t="str">
        <f t="shared" si="28"/>
        <v>5399336805.56636+17.062004i</v>
      </c>
      <c r="EF82" s="1" t="str">
        <f t="shared" si="30"/>
        <v>0.010799+17.061904i</v>
      </c>
      <c r="EG82" s="1" t="str">
        <f t="shared" si="31"/>
        <v>0.010899+15.353253i</v>
      </c>
      <c r="FN82" s="1">
        <f t="shared" si="15"/>
        <v>16.399999999999999</v>
      </c>
      <c r="FO82" s="1">
        <f t="shared" si="16"/>
        <v>16.063689697413761</v>
      </c>
    </row>
    <row r="83" spans="2:174" ht="18" customHeight="1" x14ac:dyDescent="0.25">
      <c r="B83" s="6"/>
      <c r="C83" s="17"/>
      <c r="D83" s="17"/>
      <c r="E83" s="17"/>
      <c r="F83" s="17"/>
      <c r="G83" s="17"/>
      <c r="H83" s="17"/>
      <c r="I83" s="17"/>
      <c r="N83" s="17"/>
      <c r="O83" s="17"/>
      <c r="P83" s="17"/>
      <c r="Q83" s="17"/>
      <c r="R83" s="17"/>
      <c r="S83" s="17"/>
      <c r="T83" s="17"/>
      <c r="U83" s="17"/>
      <c r="V83" s="17"/>
      <c r="AA83" s="17"/>
      <c r="AB83" s="17"/>
      <c r="AC83" s="17"/>
      <c r="AD83" s="17"/>
      <c r="AE83" s="17"/>
      <c r="AF83" s="17"/>
      <c r="AG83" s="17"/>
      <c r="AH83" s="17"/>
      <c r="AI83" s="17"/>
      <c r="AJ83" s="17"/>
      <c r="AK83" s="17"/>
      <c r="AL83" s="17"/>
      <c r="AM83" s="17"/>
      <c r="AN83" s="17"/>
      <c r="AP83" s="8"/>
      <c r="AR83" s="6"/>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8"/>
      <c r="DW83" s="1">
        <f t="shared" si="19"/>
        <v>16</v>
      </c>
      <c r="DX83" s="12" t="str">
        <f t="shared" si="29"/>
        <v>0.0001-1.687293i</v>
      </c>
      <c r="DY83" s="13" t="str">
        <f t="shared" si="17"/>
        <v>0.000000001</v>
      </c>
      <c r="DZ83" s="13" t="str">
        <f t="shared" si="25"/>
        <v>0.010799+17.277878i</v>
      </c>
      <c r="EA83" s="14" t="str">
        <f t="shared" si="26"/>
        <v>5399336805.55556+0.0001i</v>
      </c>
      <c r="EC83" s="1" t="str">
        <f t="shared" si="18"/>
        <v>0.010799001+17.277878i</v>
      </c>
      <c r="ED83" s="1" t="str">
        <f t="shared" si="27"/>
        <v>58307443.560804+93289082607.2987i</v>
      </c>
      <c r="EE83" s="1" t="str">
        <f t="shared" si="28"/>
        <v>5399336805.56636+17.277978i</v>
      </c>
      <c r="EF83" s="1" t="str">
        <f t="shared" si="30"/>
        <v>0.010799+17.277878i</v>
      </c>
      <c r="EG83" s="1" t="str">
        <f t="shared" si="31"/>
        <v>0.010899+15.590585i</v>
      </c>
      <c r="FN83" s="1">
        <f t="shared" si="15"/>
        <v>16.600000000000001</v>
      </c>
      <c r="FO83" s="1">
        <f t="shared" si="16"/>
        <v>16.299495643923002</v>
      </c>
    </row>
    <row r="84" spans="2:174" ht="18" customHeight="1" x14ac:dyDescent="0.25">
      <c r="B84" s="6"/>
      <c r="C84" s="17"/>
      <c r="D84" s="17"/>
      <c r="E84" s="17"/>
      <c r="F84" s="17"/>
      <c r="G84" s="17"/>
      <c r="H84" s="17"/>
      <c r="I84" s="17"/>
      <c r="N84" s="17"/>
      <c r="O84" s="17"/>
      <c r="P84" s="17"/>
      <c r="Q84" s="17"/>
      <c r="R84" s="17"/>
      <c r="S84" s="17"/>
      <c r="T84" s="17"/>
      <c r="U84" s="17"/>
      <c r="V84" s="17"/>
      <c r="AA84" s="17"/>
      <c r="AB84" s="17"/>
      <c r="AC84" s="17"/>
      <c r="AD84" s="17"/>
      <c r="AE84" s="17"/>
      <c r="AF84" s="17"/>
      <c r="AG84" s="17"/>
      <c r="AH84" s="17"/>
      <c r="AI84" s="17"/>
      <c r="AJ84" s="17"/>
      <c r="AK84" s="17"/>
      <c r="AL84" s="17"/>
      <c r="AM84" s="17"/>
      <c r="AN84" s="17"/>
      <c r="AP84" s="8"/>
      <c r="AR84" s="6"/>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8"/>
      <c r="DW84" s="1">
        <f t="shared" si="19"/>
        <v>16.2</v>
      </c>
      <c r="DX84" s="12" t="str">
        <f t="shared" si="29"/>
        <v>0.0001-1.666462i</v>
      </c>
      <c r="DY84" s="13" t="str">
        <f t="shared" si="17"/>
        <v>0.000000001</v>
      </c>
      <c r="DZ84" s="13" t="str">
        <f t="shared" si="25"/>
        <v>0.010799+17.493851i</v>
      </c>
      <c r="EA84" s="14" t="str">
        <f t="shared" si="26"/>
        <v>5399336805.55556+0.0001i</v>
      </c>
      <c r="EC84" s="1" t="str">
        <f t="shared" si="18"/>
        <v>0.010799001+17.493851i</v>
      </c>
      <c r="ED84" s="1" t="str">
        <f t="shared" si="27"/>
        <v>58307443.560782+94455193575.2049i</v>
      </c>
      <c r="EE84" s="1" t="str">
        <f t="shared" si="28"/>
        <v>5399336805.56636+17.493951i</v>
      </c>
      <c r="EF84" s="1" t="str">
        <f t="shared" si="30"/>
        <v>0.010799+17.493851i</v>
      </c>
      <c r="EG84" s="1" t="str">
        <f t="shared" si="31"/>
        <v>0.010899+15.827389i</v>
      </c>
      <c r="FN84" s="1">
        <f t="shared" si="15"/>
        <v>16.8</v>
      </c>
      <c r="FO84" s="1">
        <f t="shared" si="16"/>
        <v>16.534830592060203</v>
      </c>
    </row>
    <row r="85" spans="2:174" ht="18" customHeight="1" x14ac:dyDescent="0.25">
      <c r="B85" s="6"/>
      <c r="C85" s="17"/>
      <c r="D85" s="17"/>
      <c r="E85" s="17"/>
      <c r="F85" s="17"/>
      <c r="G85" s="17"/>
      <c r="H85" s="17"/>
      <c r="I85" s="17"/>
      <c r="N85" s="17"/>
      <c r="O85" s="17"/>
      <c r="P85" s="17"/>
      <c r="Q85" s="17"/>
      <c r="R85" s="17"/>
      <c r="S85" s="17"/>
      <c r="T85" s="17"/>
      <c r="U85" s="17"/>
      <c r="V85" s="17"/>
      <c r="AA85" s="17"/>
      <c r="AB85" s="17"/>
      <c r="AC85" s="17"/>
      <c r="AD85" s="17"/>
      <c r="AE85" s="17"/>
      <c r="AF85" s="17"/>
      <c r="AG85" s="17"/>
      <c r="AH85" s="17"/>
      <c r="AI85" s="17"/>
      <c r="AJ85" s="17"/>
      <c r="AK85" s="17"/>
      <c r="AL85" s="17"/>
      <c r="AM85" s="17"/>
      <c r="AN85" s="17"/>
      <c r="AP85" s="8"/>
      <c r="AR85" s="6"/>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8"/>
      <c r="DW85" s="1">
        <f t="shared" si="19"/>
        <v>16.399999999999999</v>
      </c>
      <c r="DX85" s="12" t="str">
        <f t="shared" si="29"/>
        <v>0.0001-1.646139i</v>
      </c>
      <c r="DY85" s="13" t="str">
        <f t="shared" si="17"/>
        <v>0.000000001</v>
      </c>
      <c r="DZ85" s="13" t="str">
        <f t="shared" si="25"/>
        <v>0.010799+17.709825i</v>
      </c>
      <c r="EA85" s="14" t="str">
        <f t="shared" si="26"/>
        <v>5399336805.55556+0.0001i</v>
      </c>
      <c r="EC85" s="1" t="str">
        <f t="shared" si="18"/>
        <v>0.010799001+17.709825i</v>
      </c>
      <c r="ED85" s="1" t="str">
        <f t="shared" si="27"/>
        <v>58307443.56076+95621309942.448i</v>
      </c>
      <c r="EE85" s="1" t="str">
        <f t="shared" si="28"/>
        <v>5399336805.56636+17.709925i</v>
      </c>
      <c r="EF85" s="1" t="str">
        <f t="shared" si="30"/>
        <v>0.010799+17.709825i</v>
      </c>
      <c r="EG85" s="1" t="str">
        <f t="shared" si="31"/>
        <v>0.010899+16.063686i</v>
      </c>
      <c r="FN85" s="1">
        <f t="shared" si="15"/>
        <v>17</v>
      </c>
      <c r="FO85" s="1">
        <f t="shared" si="16"/>
        <v>16.769708541749495</v>
      </c>
    </row>
    <row r="86" spans="2:174" ht="18" customHeight="1" x14ac:dyDescent="0.25">
      <c r="B86" s="6"/>
      <c r="C86" s="17"/>
      <c r="D86" s="17"/>
      <c r="E86" s="17"/>
      <c r="F86" s="17"/>
      <c r="G86" s="17"/>
      <c r="H86" s="17"/>
      <c r="I86" s="17"/>
      <c r="J86" s="17"/>
      <c r="K86" s="17"/>
      <c r="L86" s="17"/>
      <c r="M86" s="17"/>
      <c r="N86" s="17"/>
      <c r="O86" s="17"/>
      <c r="P86" s="17"/>
      <c r="Q86" s="17"/>
      <c r="R86" s="17"/>
      <c r="S86" s="17"/>
      <c r="T86" s="17"/>
      <c r="U86" s="17"/>
      <c r="V86" s="17"/>
      <c r="AA86" s="17"/>
      <c r="AB86" s="17"/>
      <c r="AC86" s="17"/>
      <c r="AD86" s="17"/>
      <c r="AE86" s="17"/>
      <c r="AF86" s="17"/>
      <c r="AG86" s="17"/>
      <c r="AH86" s="17"/>
      <c r="AI86" s="17"/>
      <c r="AJ86" s="17"/>
      <c r="AK86" s="17"/>
      <c r="AL86" s="17"/>
      <c r="AM86" s="17"/>
      <c r="AN86" s="17"/>
      <c r="AP86" s="8"/>
      <c r="AR86" s="6"/>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8"/>
      <c r="DW86" s="1">
        <f t="shared" si="19"/>
        <v>16.600000000000001</v>
      </c>
      <c r="DX86" s="12" t="str">
        <f t="shared" si="29"/>
        <v>0.0001-1.626306i</v>
      </c>
      <c r="DY86" s="13" t="str">
        <f t="shared" si="17"/>
        <v>0.000000001</v>
      </c>
      <c r="DZ86" s="13" t="str">
        <f t="shared" si="25"/>
        <v>0.010799+17.925798i</v>
      </c>
      <c r="EA86" s="14" t="str">
        <f t="shared" si="26"/>
        <v>5399336805.55556+0.0001i</v>
      </c>
      <c r="EC86" s="1" t="str">
        <f t="shared" si="18"/>
        <v>0.010799001+17.925798i</v>
      </c>
      <c r="ED86" s="1" t="str">
        <f t="shared" si="27"/>
        <v>58307443.560739+96787420910.3542i</v>
      </c>
      <c r="EE86" s="1" t="str">
        <f t="shared" si="28"/>
        <v>5399336805.56636+17.925898i</v>
      </c>
      <c r="EF86" s="1" t="str">
        <f t="shared" si="30"/>
        <v>0.010799+17.925798i</v>
      </c>
      <c r="EG86" s="1" t="str">
        <f t="shared" si="31"/>
        <v>0.010899+16.299492i</v>
      </c>
      <c r="FN86" s="1">
        <f t="shared" si="15"/>
        <v>17.2</v>
      </c>
      <c r="FO86" s="1">
        <f t="shared" si="16"/>
        <v>17.004147492918808</v>
      </c>
    </row>
    <row r="87" spans="2:174" ht="18" customHeight="1" x14ac:dyDescent="0.25">
      <c r="B87" s="6"/>
      <c r="C87" s="17"/>
      <c r="D87" s="17"/>
      <c r="E87" s="17"/>
      <c r="F87" s="17"/>
      <c r="G87" s="17"/>
      <c r="H87" s="17"/>
      <c r="I87" s="17"/>
      <c r="J87" s="17"/>
      <c r="K87" s="17"/>
      <c r="L87" s="17"/>
      <c r="M87" s="17"/>
      <c r="N87" s="17"/>
      <c r="O87" s="17"/>
      <c r="P87" s="17"/>
      <c r="Q87" s="17"/>
      <c r="R87" s="17"/>
      <c r="S87" s="17"/>
      <c r="T87" s="17"/>
      <c r="U87" s="17"/>
      <c r="V87" s="17"/>
      <c r="AA87" s="17"/>
      <c r="AB87" s="17"/>
      <c r="AC87" s="17"/>
      <c r="AD87" s="17"/>
      <c r="AE87" s="17"/>
      <c r="AF87" s="17"/>
      <c r="AG87" s="17"/>
      <c r="AH87" s="17"/>
      <c r="AI87" s="17"/>
      <c r="AJ87" s="17"/>
      <c r="AK87" s="17"/>
      <c r="AL87" s="17"/>
      <c r="AM87" s="17"/>
      <c r="AN87" s="17"/>
      <c r="AP87" s="8"/>
      <c r="AR87" s="6"/>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8"/>
      <c r="DW87" s="1">
        <f t="shared" si="19"/>
        <v>16.8</v>
      </c>
      <c r="DX87" s="12" t="str">
        <f t="shared" si="29"/>
        <v>0.0001-1.606945i</v>
      </c>
      <c r="DY87" s="13" t="str">
        <f t="shared" si="17"/>
        <v>0.000000001</v>
      </c>
      <c r="DZ87" s="13" t="str">
        <f t="shared" si="25"/>
        <v>0.010799+18.141772i</v>
      </c>
      <c r="EA87" s="14" t="str">
        <f t="shared" si="26"/>
        <v>5399336805.55556+0.0001i</v>
      </c>
      <c r="EC87" s="1" t="str">
        <f t="shared" si="18"/>
        <v>0.010799001+18.141772i</v>
      </c>
      <c r="ED87" s="1" t="str">
        <f t="shared" si="27"/>
        <v>58307443.560717+97953537277.5973i</v>
      </c>
      <c r="EE87" s="1" t="str">
        <f t="shared" si="28"/>
        <v>5399336805.56636+18.141872i</v>
      </c>
      <c r="EF87" s="1" t="str">
        <f t="shared" si="30"/>
        <v>0.010799+18.141772i</v>
      </c>
      <c r="EG87" s="1" t="str">
        <f t="shared" si="31"/>
        <v>0.010899+16.534827i</v>
      </c>
      <c r="FN87" s="1">
        <f t="shared" si="15"/>
        <v>17.399999999999999</v>
      </c>
      <c r="FO87" s="1">
        <f t="shared" si="16"/>
        <v>17.238161445501227</v>
      </c>
    </row>
    <row r="88" spans="2:174" ht="18" customHeight="1" x14ac:dyDescent="0.25">
      <c r="B88" s="6"/>
      <c r="C88" s="17"/>
      <c r="D88" s="17"/>
      <c r="E88" s="17"/>
      <c r="F88" s="17"/>
      <c r="G88" s="17"/>
      <c r="H88" s="17"/>
      <c r="I88" s="17"/>
      <c r="J88" s="17"/>
      <c r="K88" s="17"/>
      <c r="L88" s="17"/>
      <c r="M88" s="17"/>
      <c r="N88" s="17"/>
      <c r="O88" s="17"/>
      <c r="P88" s="17"/>
      <c r="Q88" s="17"/>
      <c r="R88" s="17"/>
      <c r="S88" s="17"/>
      <c r="T88" s="17"/>
      <c r="U88" s="17"/>
      <c r="V88" s="17"/>
      <c r="AA88" s="17"/>
      <c r="AB88" s="17"/>
      <c r="AC88" s="17"/>
      <c r="AD88" s="17"/>
      <c r="AE88" s="17"/>
      <c r="AF88" s="17"/>
      <c r="AG88" s="17"/>
      <c r="AH88" s="17"/>
      <c r="AI88" s="17"/>
      <c r="AJ88" s="17"/>
      <c r="AK88" s="17"/>
      <c r="AL88" s="17"/>
      <c r="AM88" s="17"/>
      <c r="AN88" s="17"/>
      <c r="AP88" s="8"/>
      <c r="AR88" s="6"/>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8"/>
      <c r="DW88" s="1">
        <f t="shared" si="19"/>
        <v>17</v>
      </c>
      <c r="DX88" s="12" t="str">
        <f t="shared" si="29"/>
        <v>0.0001-1.58804i</v>
      </c>
      <c r="DY88" s="13" t="str">
        <f t="shared" si="17"/>
        <v>0.000000001</v>
      </c>
      <c r="DZ88" s="13" t="str">
        <f t="shared" si="25"/>
        <v>0.010799+18.357745i</v>
      </c>
      <c r="EA88" s="14" t="str">
        <f t="shared" si="26"/>
        <v>5399336805.55556+0.0001i</v>
      </c>
      <c r="EC88" s="1" t="str">
        <f t="shared" si="18"/>
        <v>0.010799001+18.357745i</v>
      </c>
      <c r="ED88" s="1" t="str">
        <f t="shared" si="27"/>
        <v>58307443.560696+99119648245.5036i</v>
      </c>
      <c r="EE88" s="1" t="str">
        <f t="shared" si="28"/>
        <v>5399336805.56636+18.357845i</v>
      </c>
      <c r="EF88" s="1" t="str">
        <f t="shared" si="30"/>
        <v>0.010799+18.357745i</v>
      </c>
      <c r="EG88" s="1" t="str">
        <f t="shared" si="31"/>
        <v>0.010899+16.769705i</v>
      </c>
      <c r="FN88" s="1">
        <f t="shared" si="15"/>
        <v>17.600000000000001</v>
      </c>
      <c r="FO88" s="1">
        <f t="shared" si="16"/>
        <v>17.471766399433399</v>
      </c>
    </row>
    <row r="89" spans="2:174" ht="18" customHeight="1" x14ac:dyDescent="0.25">
      <c r="B89" s="6"/>
      <c r="C89" s="17"/>
      <c r="D89" s="17"/>
      <c r="E89" s="17"/>
      <c r="F89" s="17"/>
      <c r="G89" s="17"/>
      <c r="H89" s="17"/>
      <c r="I89" s="17"/>
      <c r="J89" s="17"/>
      <c r="K89" s="17"/>
      <c r="L89" s="17"/>
      <c r="M89" s="17"/>
      <c r="N89" s="17"/>
      <c r="O89" s="17"/>
      <c r="P89" s="17"/>
      <c r="Q89" s="17"/>
      <c r="R89" s="17"/>
      <c r="S89" s="17"/>
      <c r="T89" s="17"/>
      <c r="U89" s="17"/>
      <c r="V89" s="17"/>
      <c r="AA89" s="17"/>
      <c r="AB89" s="17"/>
      <c r="AC89" s="17"/>
      <c r="AD89" s="17"/>
      <c r="AE89" s="17"/>
      <c r="AF89" s="17"/>
      <c r="AG89" s="17"/>
      <c r="AH89" s="17"/>
      <c r="AI89" s="17"/>
      <c r="AJ89" s="17"/>
      <c r="AK89" s="17"/>
      <c r="AL89" s="17"/>
      <c r="AM89" s="17"/>
      <c r="AN89" s="17"/>
      <c r="AP89" s="8"/>
      <c r="AR89" s="6"/>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8"/>
      <c r="DW89" s="1">
        <f t="shared" si="19"/>
        <v>17.2</v>
      </c>
      <c r="DX89" s="12" t="str">
        <f t="shared" si="29"/>
        <v>0.0001-1.569575i</v>
      </c>
      <c r="DY89" s="13" t="str">
        <f t="shared" si="17"/>
        <v>0.000000001</v>
      </c>
      <c r="DZ89" s="13" t="str">
        <f t="shared" si="25"/>
        <v>0.010799+18.573719i</v>
      </c>
      <c r="EA89" s="14" t="str">
        <f t="shared" si="26"/>
        <v>5399336805.55556+0.0001i</v>
      </c>
      <c r="EC89" s="1" t="str">
        <f t="shared" si="18"/>
        <v>0.010799001+18.573719i</v>
      </c>
      <c r="ED89" s="1" t="str">
        <f t="shared" si="27"/>
        <v>58307443.560674+100285764612.747i</v>
      </c>
      <c r="EE89" s="1" t="str">
        <f t="shared" si="28"/>
        <v>5399336805.56636+18.573819i</v>
      </c>
      <c r="EF89" s="1" t="str">
        <f t="shared" si="30"/>
        <v>0.010799+18.573719i</v>
      </c>
      <c r="EG89" s="1" t="str">
        <f t="shared" si="31"/>
        <v>0.010899+17.004144i</v>
      </c>
      <c r="FN89" s="1">
        <f t="shared" si="15"/>
        <v>17.8</v>
      </c>
      <c r="FO89" s="1">
        <f t="shared" si="16"/>
        <v>17.704974354656436</v>
      </c>
    </row>
    <row r="90" spans="2:174" ht="18" customHeight="1" x14ac:dyDescent="0.25">
      <c r="B90" s="6"/>
      <c r="C90" s="17"/>
      <c r="D90" s="17"/>
      <c r="E90" s="17"/>
      <c r="F90" s="17"/>
      <c r="G90" s="17"/>
      <c r="H90" s="17"/>
      <c r="I90" s="17"/>
      <c r="J90" s="17"/>
      <c r="K90" s="17"/>
      <c r="L90" s="17"/>
      <c r="M90" s="17"/>
      <c r="N90" s="17"/>
      <c r="O90" s="17"/>
      <c r="P90" s="17"/>
      <c r="Q90" s="17"/>
      <c r="R90" s="17"/>
      <c r="S90" s="17"/>
      <c r="T90" s="17"/>
      <c r="U90" s="17"/>
      <c r="V90" s="17"/>
      <c r="AA90" s="17"/>
      <c r="AB90" s="17"/>
      <c r="AC90" s="17"/>
      <c r="AD90" s="17"/>
      <c r="AE90" s="17"/>
      <c r="AF90" s="17"/>
      <c r="AG90" s="17"/>
      <c r="AH90" s="17"/>
      <c r="AI90" s="17"/>
      <c r="AJ90" s="17"/>
      <c r="AK90" s="17"/>
      <c r="AL90" s="17"/>
      <c r="AM90" s="17"/>
      <c r="AN90" s="17"/>
      <c r="AP90" s="8"/>
      <c r="AR90" s="6"/>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8"/>
      <c r="DW90" s="1">
        <f t="shared" si="19"/>
        <v>17.399999999999999</v>
      </c>
      <c r="DX90" s="12" t="str">
        <f t="shared" si="29"/>
        <v>0.0001-1.551534i</v>
      </c>
      <c r="DY90" s="13" t="str">
        <f t="shared" si="17"/>
        <v>0.000000001</v>
      </c>
      <c r="DZ90" s="13" t="str">
        <f t="shared" si="25"/>
        <v>0.010799+18.789692i</v>
      </c>
      <c r="EA90" s="14" t="str">
        <f t="shared" si="26"/>
        <v>5399336805.55556+0.0001i</v>
      </c>
      <c r="EC90" s="1" t="str">
        <f t="shared" si="18"/>
        <v>0.010799001+18.789692i</v>
      </c>
      <c r="ED90" s="1" t="str">
        <f t="shared" si="27"/>
        <v>58307443.560652+101451875580.653i</v>
      </c>
      <c r="EE90" s="1" t="str">
        <f t="shared" si="28"/>
        <v>5399336805.56636+18.789792i</v>
      </c>
      <c r="EF90" s="1" t="str">
        <f t="shared" si="30"/>
        <v>0.010799+18.789692i</v>
      </c>
      <c r="EG90" s="1" t="str">
        <f t="shared" si="31"/>
        <v>0.010899+17.238158i</v>
      </c>
      <c r="FN90" s="1">
        <f t="shared" si="15"/>
        <v>18</v>
      </c>
      <c r="FO90" s="1">
        <f t="shared" si="16"/>
        <v>17.937800311114238</v>
      </c>
    </row>
    <row r="91" spans="2:174" ht="18" customHeight="1" x14ac:dyDescent="0.25">
      <c r="B91" s="6"/>
      <c r="C91" s="17"/>
      <c r="D91" s="17"/>
      <c r="E91" s="17"/>
      <c r="F91" s="17"/>
      <c r="G91" s="17"/>
      <c r="H91" s="17"/>
      <c r="I91" s="17"/>
      <c r="J91" s="17"/>
      <c r="K91" s="17"/>
      <c r="L91" s="17"/>
      <c r="M91" s="17"/>
      <c r="N91" s="17"/>
      <c r="O91" s="17"/>
      <c r="P91" s="17"/>
      <c r="Q91" s="17"/>
      <c r="R91" s="17"/>
      <c r="S91" s="17"/>
      <c r="T91" s="17"/>
      <c r="U91" s="17"/>
      <c r="V91" s="17"/>
      <c r="AA91" s="17"/>
      <c r="AB91" s="17"/>
      <c r="AC91" s="17"/>
      <c r="AD91" s="17"/>
      <c r="AE91" s="17"/>
      <c r="AF91" s="17"/>
      <c r="AG91" s="17"/>
      <c r="AH91" s="17"/>
      <c r="AI91" s="17"/>
      <c r="AJ91" s="17"/>
      <c r="AK91" s="17"/>
      <c r="AL91" s="17"/>
      <c r="AM91" s="17"/>
      <c r="AN91" s="17"/>
      <c r="AP91" s="8"/>
      <c r="AR91" s="6"/>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8"/>
      <c r="DW91" s="1">
        <f t="shared" si="19"/>
        <v>17.600000000000001</v>
      </c>
      <c r="DX91" s="12" t="str">
        <f t="shared" si="29"/>
        <v>0.0001-1.533903i</v>
      </c>
      <c r="DY91" s="13" t="str">
        <f t="shared" si="17"/>
        <v>0.000000001</v>
      </c>
      <c r="DZ91" s="13" t="str">
        <f t="shared" si="25"/>
        <v>0.010799+19.005666i</v>
      </c>
      <c r="EA91" s="14" t="str">
        <f t="shared" si="26"/>
        <v>5399336805.55556+0.0001i</v>
      </c>
      <c r="EC91" s="1" t="str">
        <f t="shared" si="18"/>
        <v>0.010799001+19.005666i</v>
      </c>
      <c r="ED91" s="1" t="str">
        <f t="shared" si="27"/>
        <v>58307443.560631+102617991947.896i</v>
      </c>
      <c r="EE91" s="1" t="str">
        <f t="shared" si="28"/>
        <v>5399336805.56636+19.005766i</v>
      </c>
      <c r="EF91" s="1" t="str">
        <f t="shared" si="30"/>
        <v>0.010799+19.005666i</v>
      </c>
      <c r="EG91" s="1" t="str">
        <f t="shared" si="31"/>
        <v>0.010899+17.471763i</v>
      </c>
      <c r="FN91" s="1">
        <f t="shared" si="15"/>
        <v>18.2</v>
      </c>
      <c r="FO91" s="1">
        <f t="shared" si="16"/>
        <v>18.170255268754619</v>
      </c>
    </row>
    <row r="92" spans="2:174" ht="18" customHeight="1" x14ac:dyDescent="0.25">
      <c r="B92" s="6"/>
      <c r="C92" s="17"/>
      <c r="D92" s="17"/>
      <c r="E92" s="17"/>
      <c r="F92" s="17"/>
      <c r="G92" s="17"/>
      <c r="H92" s="17"/>
      <c r="I92" s="17"/>
      <c r="J92" s="17"/>
      <c r="K92" s="17"/>
      <c r="L92" s="17"/>
      <c r="M92" s="17"/>
      <c r="N92" s="17"/>
      <c r="O92" s="17"/>
      <c r="P92" s="17"/>
      <c r="Q92" s="17"/>
      <c r="R92" s="17"/>
      <c r="S92" s="17"/>
      <c r="T92" s="17"/>
      <c r="U92" s="17"/>
      <c r="V92" s="17"/>
      <c r="AA92" s="17"/>
      <c r="AB92" s="17"/>
      <c r="AC92" s="17"/>
      <c r="AD92" s="17"/>
      <c r="AE92" s="17"/>
      <c r="AF92" s="17"/>
      <c r="AG92" s="17"/>
      <c r="AH92" s="17"/>
      <c r="AI92" s="17"/>
      <c r="AJ92" s="17"/>
      <c r="AK92" s="17"/>
      <c r="AL92" s="17"/>
      <c r="AM92" s="17"/>
      <c r="AN92" s="17"/>
      <c r="AP92" s="8"/>
      <c r="AR92" s="6"/>
      <c r="CF92" s="8"/>
      <c r="DW92" s="1">
        <f t="shared" si="19"/>
        <v>17.8</v>
      </c>
      <c r="DX92" s="12" t="str">
        <f t="shared" si="29"/>
        <v>0.0001-1.516668i</v>
      </c>
      <c r="DY92" s="13" t="str">
        <f t="shared" si="17"/>
        <v>0.000000001</v>
      </c>
      <c r="DZ92" s="13" t="str">
        <f t="shared" si="25"/>
        <v>0.010799+19.221639i</v>
      </c>
      <c r="EA92" s="14" t="str">
        <f t="shared" si="26"/>
        <v>5399336805.55556+0.0001i</v>
      </c>
      <c r="EC92" s="1" t="str">
        <f t="shared" si="18"/>
        <v>0.010799001+19.221639i</v>
      </c>
      <c r="ED92" s="1" t="str">
        <f t="shared" si="27"/>
        <v>58307443.560609+103784102915.802i</v>
      </c>
      <c r="EE92" s="1" t="str">
        <f t="shared" si="28"/>
        <v>5399336805.56636+19.221739i</v>
      </c>
      <c r="EF92" s="1" t="str">
        <f t="shared" si="30"/>
        <v>0.010799+19.221639i</v>
      </c>
      <c r="EG92" s="1" t="str">
        <f t="shared" si="31"/>
        <v>0.010899+17.704971i</v>
      </c>
      <c r="FN92" s="1">
        <f t="shared" si="15"/>
        <v>18.399999999999999</v>
      </c>
      <c r="FO92" s="1">
        <f t="shared" si="16"/>
        <v>18.402351227528101</v>
      </c>
      <c r="FR92" s="53"/>
    </row>
    <row r="93" spans="2:174" ht="18" customHeight="1" x14ac:dyDescent="0.25">
      <c r="B93" s="6"/>
      <c r="C93" s="17"/>
      <c r="D93" s="17"/>
      <c r="E93" s="17"/>
      <c r="F93" s="17"/>
      <c r="G93" s="17"/>
      <c r="H93" s="17"/>
      <c r="I93" s="17"/>
      <c r="J93" s="17"/>
      <c r="K93" s="17"/>
      <c r="L93" s="17"/>
      <c r="M93" s="17"/>
      <c r="N93" s="17"/>
      <c r="O93" s="17"/>
      <c r="P93" s="17"/>
      <c r="Q93" s="17"/>
      <c r="R93" s="17"/>
      <c r="S93" s="17"/>
      <c r="T93" s="17"/>
      <c r="U93" s="17"/>
      <c r="V93" s="17"/>
      <c r="AA93" s="17"/>
      <c r="AB93" s="17"/>
      <c r="AC93" s="17"/>
      <c r="AD93" s="17"/>
      <c r="AE93" s="17"/>
      <c r="AF93" s="17"/>
      <c r="AG93" s="17"/>
      <c r="AH93" s="17"/>
      <c r="AI93" s="17"/>
      <c r="AJ93" s="17"/>
      <c r="AK93" s="17"/>
      <c r="AL93" s="17"/>
      <c r="AM93" s="17"/>
      <c r="AN93" s="17"/>
      <c r="AP93" s="8"/>
      <c r="AR93" s="6"/>
      <c r="CF93" s="8"/>
      <c r="DW93" s="1">
        <f t="shared" si="19"/>
        <v>18</v>
      </c>
      <c r="DX93" s="12" t="str">
        <f t="shared" si="29"/>
        <v>0.0001-1.499816i</v>
      </c>
      <c r="DY93" s="13" t="str">
        <f t="shared" si="17"/>
        <v>0.000000001</v>
      </c>
      <c r="DZ93" s="13" t="str">
        <f t="shared" si="25"/>
        <v>0.010799+19.437613i</v>
      </c>
      <c r="EA93" s="14" t="str">
        <f t="shared" si="26"/>
        <v>5399336805.55556+0.0001i</v>
      </c>
      <c r="EC93" s="1" t="str">
        <f t="shared" si="18"/>
        <v>0.010799001+19.437613i</v>
      </c>
      <c r="ED93" s="1" t="str">
        <f t="shared" si="27"/>
        <v>58307443.560588+104950219283.045i</v>
      </c>
      <c r="EE93" s="1" t="str">
        <f t="shared" si="28"/>
        <v>5399336805.56636+19.437713i</v>
      </c>
      <c r="EF93" s="1" t="str">
        <f t="shared" si="30"/>
        <v>0.010799+19.437613i</v>
      </c>
      <c r="EG93" s="1" t="str">
        <f t="shared" si="31"/>
        <v>0.010899+17.937797i</v>
      </c>
      <c r="FN93" s="1">
        <f t="shared" si="15"/>
        <v>18.600000000000001</v>
      </c>
      <c r="FO93" s="1">
        <f t="shared" si="16"/>
        <v>18.634101187387735</v>
      </c>
      <c r="FR93" s="53"/>
    </row>
    <row r="94" spans="2:174" ht="18" customHeight="1" x14ac:dyDescent="0.25">
      <c r="B94" s="6"/>
      <c r="AP94" s="8"/>
      <c r="AR94" s="6"/>
      <c r="CF94" s="8"/>
      <c r="DW94" s="1">
        <f t="shared" si="19"/>
        <v>18.2</v>
      </c>
      <c r="DX94" s="12" t="str">
        <f t="shared" si="29"/>
        <v>0.0001-1.483334i</v>
      </c>
      <c r="DY94" s="13" t="str">
        <f t="shared" si="17"/>
        <v>0.000000001</v>
      </c>
      <c r="DZ94" s="13" t="str">
        <f t="shared" si="25"/>
        <v>0.010799+19.653586i</v>
      </c>
      <c r="EA94" s="14" t="str">
        <f t="shared" si="26"/>
        <v>5399336805.55556+0.0001i</v>
      </c>
      <c r="EC94" s="1" t="str">
        <f t="shared" si="18"/>
        <v>0.010799001+19.653586i</v>
      </c>
      <c r="ED94" s="1" t="str">
        <f t="shared" si="27"/>
        <v>58307443.560566+106116330250.951i</v>
      </c>
      <c r="EE94" s="1" t="str">
        <f t="shared" si="28"/>
        <v>5399336805.56636+19.653686i</v>
      </c>
      <c r="EF94" s="1" t="str">
        <f t="shared" si="30"/>
        <v>0.010799+19.653586i</v>
      </c>
      <c r="EG94" s="1" t="str">
        <f t="shared" si="31"/>
        <v>0.010899+18.170252i</v>
      </c>
      <c r="FN94" s="1">
        <f t="shared" si="15"/>
        <v>18.8</v>
      </c>
      <c r="FO94" s="1">
        <f t="shared" si="16"/>
        <v>18.865515148289617</v>
      </c>
      <c r="FR94" s="53"/>
    </row>
    <row r="95" spans="2:174" ht="18" customHeight="1" x14ac:dyDescent="0.25">
      <c r="B95" s="6"/>
      <c r="AP95" s="8"/>
      <c r="AR95" s="6"/>
      <c r="CF95" s="8"/>
      <c r="DW95" s="1">
        <f t="shared" si="19"/>
        <v>18.399999999999999</v>
      </c>
      <c r="DX95" s="12" t="str">
        <f t="shared" si="29"/>
        <v>0.0001-1.467211i</v>
      </c>
      <c r="DY95" s="13" t="str">
        <f t="shared" si="17"/>
        <v>0.000000001</v>
      </c>
      <c r="DZ95" s="13" t="str">
        <f t="shared" si="25"/>
        <v>0.010799+19.869559i</v>
      </c>
      <c r="EA95" s="14" t="str">
        <f t="shared" si="26"/>
        <v>5399336805.55556+0.0001i</v>
      </c>
      <c r="EC95" s="1" t="str">
        <f t="shared" si="18"/>
        <v>0.010799001+19.869559i</v>
      </c>
      <c r="ED95" s="1" t="str">
        <f t="shared" si="27"/>
        <v>58307443.560544+107282441218.858i</v>
      </c>
      <c r="EE95" s="1" t="str">
        <f t="shared" si="28"/>
        <v>5399336805.56636+19.869659i</v>
      </c>
      <c r="EF95" s="1" t="str">
        <f t="shared" si="30"/>
        <v>0.010799+19.869559i</v>
      </c>
      <c r="EG95" s="1" t="str">
        <f t="shared" si="31"/>
        <v>0.010899+18.402348i</v>
      </c>
      <c r="FN95" s="1">
        <f t="shared" si="15"/>
        <v>19</v>
      </c>
      <c r="FO95" s="1">
        <f t="shared" si="16"/>
        <v>19.096605110191838</v>
      </c>
      <c r="FR95" s="53"/>
    </row>
    <row r="96" spans="2:174" ht="18" customHeight="1" thickBot="1" x14ac:dyDescent="0.3">
      <c r="B96" s="6"/>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1"/>
      <c r="AO96" s="10"/>
      <c r="AP96" s="8"/>
      <c r="AR96" s="6"/>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1"/>
      <c r="CE96" s="10"/>
      <c r="CF96" s="8"/>
      <c r="DW96" s="1">
        <f t="shared" si="19"/>
        <v>18.600000000000001</v>
      </c>
      <c r="DX96" s="12" t="str">
        <f t="shared" si="29"/>
        <v>0.0001-1.451435i</v>
      </c>
      <c r="DY96" s="13" t="str">
        <f t="shared" si="17"/>
        <v>0.000000001</v>
      </c>
      <c r="DZ96" s="13" t="str">
        <f t="shared" si="25"/>
        <v>0.010799+20.085533i</v>
      </c>
      <c r="EA96" s="14" t="str">
        <f t="shared" si="26"/>
        <v>5399336805.55556+0.0001i</v>
      </c>
      <c r="EC96" s="1" t="str">
        <f t="shared" si="18"/>
        <v>0.010799001+20.085533i</v>
      </c>
      <c r="ED96" s="1" t="str">
        <f t="shared" si="27"/>
        <v>58307443.560523+108448557586.101i</v>
      </c>
      <c r="EE96" s="1" t="str">
        <f t="shared" si="28"/>
        <v>5399336805.56636+20.085633i</v>
      </c>
      <c r="EF96" s="1" t="str">
        <f t="shared" si="30"/>
        <v>0.010799+20.085533i</v>
      </c>
      <c r="EG96" s="1" t="str">
        <f t="shared" si="31"/>
        <v>0.010899+18.634098i</v>
      </c>
      <c r="FN96" s="1">
        <f t="shared" si="15"/>
        <v>19.2</v>
      </c>
      <c r="FO96" s="1">
        <f t="shared" si="16"/>
        <v>19.327379073055329</v>
      </c>
      <c r="FR96" s="53"/>
    </row>
    <row r="97" spans="2:174" ht="18" customHeight="1" x14ac:dyDescent="0.25">
      <c r="B97" s="6"/>
      <c r="D97" s="44" t="s">
        <v>94</v>
      </c>
      <c r="AO97" s="29" t="s">
        <v>109</v>
      </c>
      <c r="AP97" s="8"/>
      <c r="AR97" s="6"/>
      <c r="AT97" s="44" t="s">
        <v>94</v>
      </c>
      <c r="CE97" s="29" t="s">
        <v>110</v>
      </c>
      <c r="CF97" s="8"/>
      <c r="DW97" s="1">
        <f t="shared" si="19"/>
        <v>18.8</v>
      </c>
      <c r="DX97" s="12" t="str">
        <f t="shared" si="29"/>
        <v>0.0001-1.435994i</v>
      </c>
      <c r="DY97" s="13" t="str">
        <f t="shared" si="17"/>
        <v>0.000000001</v>
      </c>
      <c r="DZ97" s="13" t="str">
        <f t="shared" si="25"/>
        <v>0.010799+20.301506i</v>
      </c>
      <c r="EA97" s="14" t="str">
        <f t="shared" si="26"/>
        <v>5399336805.55556+0.0001i</v>
      </c>
      <c r="EC97" s="1" t="str">
        <f t="shared" si="18"/>
        <v>0.010799001+20.301506i</v>
      </c>
      <c r="ED97" s="1" t="str">
        <f t="shared" si="27"/>
        <v>58307443.560501+109614668554.007i</v>
      </c>
      <c r="EE97" s="1" t="str">
        <f t="shared" si="28"/>
        <v>5399336805.56636+20.301606i</v>
      </c>
      <c r="EF97" s="1" t="str">
        <f t="shared" si="30"/>
        <v>0.010799+20.301506i</v>
      </c>
      <c r="EG97" s="1" t="str">
        <f t="shared" si="31"/>
        <v>0.010899+18.865512i</v>
      </c>
      <c r="FN97" s="1">
        <f t="shared" si="15"/>
        <v>19.399999999999999</v>
      </c>
      <c r="FO97" s="1">
        <f t="shared" si="16"/>
        <v>19.55784803684255</v>
      </c>
      <c r="FR97" s="53"/>
    </row>
    <row r="98" spans="2:174" ht="18" customHeight="1" x14ac:dyDescent="0.25">
      <c r="B98" s="46"/>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8"/>
      <c r="AR98" s="46"/>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8"/>
      <c r="DW98" s="1">
        <f t="shared" si="19"/>
        <v>19</v>
      </c>
      <c r="DX98" s="12" t="str">
        <f t="shared" si="29"/>
        <v>0.0001-1.420878i</v>
      </c>
      <c r="DY98" s="13" t="str">
        <f t="shared" si="17"/>
        <v>0.000000001</v>
      </c>
      <c r="DZ98" s="13" t="str">
        <f t="shared" si="25"/>
        <v>0.010799+20.51748i</v>
      </c>
      <c r="EA98" s="14" t="str">
        <f t="shared" si="26"/>
        <v>5399336805.55556+0.0001i</v>
      </c>
      <c r="EC98" s="1" t="str">
        <f t="shared" si="18"/>
        <v>0.010799001+20.51748i</v>
      </c>
      <c r="ED98" s="1" t="str">
        <f t="shared" si="27"/>
        <v>58307443.56048+110780784921.25i</v>
      </c>
      <c r="EE98" s="1" t="str">
        <f t="shared" si="28"/>
        <v>5399336805.56636+20.51758i</v>
      </c>
      <c r="EF98" s="1" t="str">
        <f t="shared" si="30"/>
        <v>0.010799+20.51748i</v>
      </c>
      <c r="EG98" s="1" t="str">
        <f t="shared" si="31"/>
        <v>0.010899+19.096602i</v>
      </c>
      <c r="FN98" s="1">
        <f t="shared" si="15"/>
        <v>19.600000000000001</v>
      </c>
      <c r="FO98" s="1">
        <f t="shared" si="16"/>
        <v>19.788021001518192</v>
      </c>
      <c r="FR98" s="53"/>
    </row>
    <row r="99" spans="2:174" ht="18" customHeight="1" x14ac:dyDescent="0.25">
      <c r="DW99" s="1">
        <f t="shared" si="19"/>
        <v>19.2</v>
      </c>
      <c r="DX99" s="12" t="str">
        <f t="shared" si="29"/>
        <v>0.0001-1.406077i</v>
      </c>
      <c r="DY99" s="13" t="str">
        <f t="shared" si="17"/>
        <v>0.000000001</v>
      </c>
      <c r="DZ99" s="13" t="str">
        <f t="shared" si="25"/>
        <v>0.010799+20.733453i</v>
      </c>
      <c r="EA99" s="14" t="str">
        <f t="shared" si="26"/>
        <v>5399336805.55556+0.0001i</v>
      </c>
      <c r="EC99" s="1" t="str">
        <f t="shared" si="18"/>
        <v>0.010799001+20.733453i</v>
      </c>
      <c r="ED99" s="1" t="str">
        <f t="shared" si="27"/>
        <v>58307443.560458+111946895889.156i</v>
      </c>
      <c r="EE99" s="1" t="str">
        <f t="shared" si="28"/>
        <v>5399336805.56636+20.733553i</v>
      </c>
      <c r="EF99" s="1" t="str">
        <f t="shared" si="30"/>
        <v>0.010799+20.733453i</v>
      </c>
      <c r="EG99" s="1" t="str">
        <f t="shared" si="31"/>
        <v>0.010899+19.327376i</v>
      </c>
      <c r="FN99" s="1">
        <f t="shared" si="15"/>
        <v>19.8</v>
      </c>
      <c r="FO99" s="1">
        <f t="shared" si="16"/>
        <v>20.017907967048554</v>
      </c>
      <c r="FR99" s="53"/>
    </row>
    <row r="100" spans="2:174" ht="18" customHeight="1" x14ac:dyDescent="0.25">
      <c r="B100" s="3"/>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5"/>
      <c r="AR100" s="3"/>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5"/>
      <c r="DW100" s="1">
        <f t="shared" si="19"/>
        <v>19.399999999999999</v>
      </c>
      <c r="DX100" s="12" t="str">
        <f t="shared" si="29"/>
        <v>0.0001-1.391582i</v>
      </c>
      <c r="DY100" s="13" t="str">
        <f t="shared" si="17"/>
        <v>0.000000001</v>
      </c>
      <c r="DZ100" s="13" t="str">
        <f t="shared" si="25"/>
        <v>0.010799+20.949427i</v>
      </c>
      <c r="EA100" s="14" t="str">
        <f t="shared" si="26"/>
        <v>5399336805.55556+0.0001i</v>
      </c>
      <c r="EC100" s="1" t="str">
        <f t="shared" si="18"/>
        <v>0.010799001+20.949427i</v>
      </c>
      <c r="ED100" s="1" t="str">
        <f t="shared" si="27"/>
        <v>58307443.560436+113113012256.399i</v>
      </c>
      <c r="EE100" s="1" t="str">
        <f t="shared" si="28"/>
        <v>5399336805.56636+20.949527i</v>
      </c>
      <c r="EF100" s="1" t="str">
        <f t="shared" si="30"/>
        <v>0.010799+20.949427i</v>
      </c>
      <c r="EG100" s="1" t="str">
        <f t="shared" si="31"/>
        <v>0.010899+19.557845i</v>
      </c>
      <c r="FN100" s="1">
        <f t="shared" si="15"/>
        <v>20</v>
      </c>
      <c r="FO100" s="1">
        <f t="shared" si="16"/>
        <v>20.247515933402052</v>
      </c>
      <c r="FR100" s="53"/>
    </row>
    <row r="101" spans="2:174" ht="18" customHeight="1" x14ac:dyDescent="0.25">
      <c r="B101" s="6"/>
      <c r="AN101" s="7"/>
      <c r="AP101" s="8"/>
      <c r="AR101" s="6"/>
      <c r="CD101" s="7"/>
      <c r="CF101" s="8"/>
      <c r="DW101" s="1">
        <f t="shared" si="19"/>
        <v>19.600000000000001</v>
      </c>
      <c r="DX101" s="12" t="str">
        <f t="shared" si="29"/>
        <v>0.0001-1.377382i</v>
      </c>
      <c r="DY101" s="13" t="str">
        <f t="shared" si="17"/>
        <v>0.000000001</v>
      </c>
      <c r="DZ101" s="13" t="str">
        <f t="shared" si="25"/>
        <v>0.010799+21.1654i</v>
      </c>
      <c r="EA101" s="14" t="str">
        <f t="shared" si="26"/>
        <v>5399336805.55556+0.0001i</v>
      </c>
      <c r="EC101" s="1" t="str">
        <f t="shared" si="18"/>
        <v>0.010799001+21.1654i</v>
      </c>
      <c r="ED101" s="1" t="str">
        <f t="shared" si="27"/>
        <v>58307443.560415+114279123224.306i</v>
      </c>
      <c r="EE101" s="1" t="str">
        <f t="shared" si="28"/>
        <v>5399336805.56636+21.1655i</v>
      </c>
      <c r="EF101" s="1" t="str">
        <f t="shared" si="30"/>
        <v>0.010799+21.1654i</v>
      </c>
      <c r="EG101" s="1" t="str">
        <f t="shared" si="31"/>
        <v>0.010899+19.788018i</v>
      </c>
      <c r="FN101" s="1">
        <f t="shared" si="15"/>
        <v>20.2</v>
      </c>
      <c r="FO101" s="1">
        <f t="shared" si="16"/>
        <v>20.476853900548345</v>
      </c>
      <c r="FR101" s="53"/>
    </row>
    <row r="102" spans="2:174" ht="18" customHeight="1" x14ac:dyDescent="0.25">
      <c r="B102" s="6"/>
      <c r="AN102" s="9"/>
      <c r="AP102" s="8"/>
      <c r="AR102" s="6"/>
      <c r="CD102" s="9"/>
      <c r="CF102" s="8"/>
      <c r="DW102" s="1">
        <f t="shared" si="19"/>
        <v>19.8</v>
      </c>
      <c r="DX102" s="12" t="str">
        <f t="shared" si="29"/>
        <v>0.0001-1.363469i</v>
      </c>
      <c r="DY102" s="13" t="str">
        <f t="shared" si="17"/>
        <v>0.000000001</v>
      </c>
      <c r="DZ102" s="13" t="str">
        <f t="shared" si="25"/>
        <v>0.010799+21.381374i</v>
      </c>
      <c r="EA102" s="14" t="str">
        <f t="shared" si="26"/>
        <v>5399336805.55556+0.0001i</v>
      </c>
      <c r="EC102" s="1" t="str">
        <f t="shared" si="18"/>
        <v>0.010799001+21.381374i</v>
      </c>
      <c r="ED102" s="1" t="str">
        <f t="shared" si="27"/>
        <v>58307443.560393+115445239591.549i</v>
      </c>
      <c r="EE102" s="1" t="str">
        <f t="shared" si="28"/>
        <v>5399336805.56636+21.381474i</v>
      </c>
      <c r="EF102" s="1" t="str">
        <f t="shared" si="30"/>
        <v>0.010799+21.381374i</v>
      </c>
      <c r="EG102" s="1" t="str">
        <f t="shared" si="31"/>
        <v>0.010899+20.017905i</v>
      </c>
      <c r="FN102" s="1">
        <f t="shared" si="15"/>
        <v>20.399999999999999</v>
      </c>
      <c r="FO102" s="1">
        <f t="shared" si="16"/>
        <v>20.7059298684587</v>
      </c>
      <c r="FR102" s="53"/>
    </row>
    <row r="103" spans="2:174" ht="18" customHeight="1" thickBot="1" x14ac:dyDescent="0.3">
      <c r="B103" s="6"/>
      <c r="C103" s="10" t="str">
        <f>H12 &amp; " | " &amp; AE13</f>
        <v>Enter Customer PO #  | Stage 1</v>
      </c>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1"/>
      <c r="AO103" s="10"/>
      <c r="AP103" s="8"/>
      <c r="AR103" s="6"/>
      <c r="AS103" s="10" t="str">
        <f>H12 &amp; " | " &amp; AE13</f>
        <v>Enter Customer PO #  | Stage 1</v>
      </c>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1"/>
      <c r="CE103" s="10"/>
      <c r="CF103" s="8"/>
      <c r="DW103" s="1">
        <f t="shared" si="19"/>
        <v>20</v>
      </c>
      <c r="DX103" s="12" t="str">
        <f t="shared" si="29"/>
        <v>0.0001-1.349834i</v>
      </c>
      <c r="DY103" s="13" t="str">
        <f t="shared" si="17"/>
        <v>0.000000001</v>
      </c>
      <c r="DZ103" s="13" t="str">
        <f t="shared" si="25"/>
        <v>0.010799+21.597347i</v>
      </c>
      <c r="EA103" s="14" t="str">
        <f t="shared" si="26"/>
        <v>5399336805.55556+0.0001i</v>
      </c>
      <c r="EC103" s="1" t="str">
        <f t="shared" si="18"/>
        <v>0.010799001+21.597347i</v>
      </c>
      <c r="ED103" s="1" t="str">
        <f t="shared" si="27"/>
        <v>58307443.560372+116611350559.455i</v>
      </c>
      <c r="EE103" s="1" t="str">
        <f t="shared" si="28"/>
        <v>5399336805.56636+21.597447i</v>
      </c>
      <c r="EF103" s="1" t="str">
        <f t="shared" si="30"/>
        <v>0.010799+21.597347i</v>
      </c>
      <c r="EG103" s="1" t="str">
        <f t="shared" si="31"/>
        <v>0.010899+20.247513i</v>
      </c>
      <c r="FN103" s="1">
        <f t="shared" si="15"/>
        <v>20.6</v>
      </c>
      <c r="FO103" s="1">
        <f t="shared" si="16"/>
        <v>20.934751837105736</v>
      </c>
      <c r="FR103" s="53"/>
    </row>
    <row r="104" spans="2:174" ht="18" customHeight="1" x14ac:dyDescent="0.25">
      <c r="B104" s="6"/>
      <c r="AN104" s="9"/>
      <c r="AP104" s="8"/>
      <c r="AR104" s="6"/>
      <c r="CD104" s="9"/>
      <c r="CF104" s="8"/>
      <c r="DW104" s="1">
        <f t="shared" si="19"/>
        <v>20.2</v>
      </c>
      <c r="DX104" s="12" t="str">
        <f t="shared" si="29"/>
        <v>0.0001-1.33647i</v>
      </c>
      <c r="DY104" s="13" t="str">
        <f t="shared" si="17"/>
        <v>0.000000001</v>
      </c>
      <c r="DZ104" s="13" t="str">
        <f t="shared" si="25"/>
        <v>0.010799+21.813321i</v>
      </c>
      <c r="EA104" s="14" t="str">
        <f t="shared" si="26"/>
        <v>5399336805.55556+0.0001i</v>
      </c>
      <c r="EC104" s="1" t="str">
        <f t="shared" si="18"/>
        <v>0.010799001+21.813321i</v>
      </c>
      <c r="ED104" s="1" t="str">
        <f t="shared" si="27"/>
        <v>58307443.56035+117777466926.698i</v>
      </c>
      <c r="EE104" s="1" t="str">
        <f t="shared" si="28"/>
        <v>5399336805.56636+21.813421i</v>
      </c>
      <c r="EF104" s="1" t="str">
        <f t="shared" si="30"/>
        <v>0.010799+21.813321i</v>
      </c>
      <c r="EG104" s="1" t="str">
        <f t="shared" si="31"/>
        <v>0.010899+20.476851i</v>
      </c>
      <c r="FN104" s="1">
        <f t="shared" si="15"/>
        <v>20.8</v>
      </c>
      <c r="FO104" s="1">
        <f t="shared" si="16"/>
        <v>21.163325806463639</v>
      </c>
      <c r="FR104" s="53"/>
    </row>
    <row r="105" spans="2:174" ht="18" customHeight="1" x14ac:dyDescent="0.3">
      <c r="B105" s="6"/>
      <c r="C105" s="30" t="s">
        <v>111</v>
      </c>
      <c r="D105" s="21"/>
      <c r="E105" s="21"/>
      <c r="F105" s="21"/>
      <c r="G105" s="21"/>
      <c r="H105" s="21"/>
      <c r="I105" s="21"/>
      <c r="J105" s="21"/>
      <c r="K105" s="21"/>
      <c r="L105" s="21"/>
      <c r="M105" s="21"/>
      <c r="N105" s="21"/>
      <c r="AO105" s="17"/>
      <c r="AP105" s="8"/>
      <c r="AR105" s="6"/>
      <c r="AS105" s="30" t="s">
        <v>112</v>
      </c>
      <c r="CE105" s="17"/>
      <c r="CF105" s="8"/>
      <c r="DW105" s="1">
        <f t="shared" si="19"/>
        <v>20.399999999999999</v>
      </c>
      <c r="DX105" s="12" t="str">
        <f t="shared" si="29"/>
        <v>0.0001-1.323367i</v>
      </c>
      <c r="DY105" s="13" t="str">
        <f t="shared" si="17"/>
        <v>0.000000001</v>
      </c>
      <c r="DZ105" s="13" t="str">
        <f t="shared" si="25"/>
        <v>0.010799+22.029294i</v>
      </c>
      <c r="EA105" s="14" t="str">
        <f t="shared" si="26"/>
        <v>5399336805.55556+0.0001i</v>
      </c>
      <c r="EC105" s="1" t="str">
        <f t="shared" si="18"/>
        <v>0.010799001+22.029294i</v>
      </c>
      <c r="ED105" s="1" t="str">
        <f t="shared" si="27"/>
        <v>58307443.560328+118943577894.604i</v>
      </c>
      <c r="EE105" s="1" t="str">
        <f t="shared" si="28"/>
        <v>5399336805.56636+22.029394i</v>
      </c>
      <c r="EF105" s="1" t="str">
        <f t="shared" si="30"/>
        <v>0.010799+22.029294i</v>
      </c>
      <c r="EG105" s="1" t="str">
        <f t="shared" si="31"/>
        <v>0.010899+20.705927i</v>
      </c>
      <c r="FN105" s="1">
        <f t="shared" si="15"/>
        <v>21</v>
      </c>
      <c r="FO105" s="1">
        <f t="shared" si="16"/>
        <v>21.39166177650727</v>
      </c>
      <c r="FR105" s="53"/>
    </row>
    <row r="106" spans="2:174" ht="18" customHeight="1" x14ac:dyDescent="0.3">
      <c r="B106" s="6"/>
      <c r="C106" s="47"/>
      <c r="D106" s="97" t="s">
        <v>113</v>
      </c>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47"/>
      <c r="AP106" s="8"/>
      <c r="AR106" s="6"/>
      <c r="CF106" s="8"/>
      <c r="DW106" s="1">
        <f t="shared" si="19"/>
        <v>20.6</v>
      </c>
      <c r="DX106" s="12" t="str">
        <f t="shared" si="29"/>
        <v>0.0001-1.310519i</v>
      </c>
      <c r="DY106" s="13" t="str">
        <f t="shared" si="17"/>
        <v>0.000000001</v>
      </c>
      <c r="DZ106" s="13" t="str">
        <f t="shared" si="25"/>
        <v>0.010799+22.245268i</v>
      </c>
      <c r="EA106" s="14" t="str">
        <f t="shared" si="26"/>
        <v>5399336805.55556+0.0001i</v>
      </c>
      <c r="EC106" s="1" t="str">
        <f t="shared" si="18"/>
        <v>0.010799001+22.245268i</v>
      </c>
      <c r="ED106" s="1" t="str">
        <f t="shared" si="27"/>
        <v>58307443.560307+120109694261.847i</v>
      </c>
      <c r="EE106" s="1" t="str">
        <f t="shared" si="28"/>
        <v>5399336805.56636+22.245368i</v>
      </c>
      <c r="EF106" s="1" t="str">
        <f t="shared" si="30"/>
        <v>0.010799+22.245268i</v>
      </c>
      <c r="EG106" s="1" t="str">
        <f t="shared" si="31"/>
        <v>0.010899+20.934749i</v>
      </c>
      <c r="FN106" s="1">
        <f t="shared" si="15"/>
        <v>21.2</v>
      </c>
      <c r="FO106" s="1">
        <f t="shared" si="16"/>
        <v>21.61976274721351</v>
      </c>
      <c r="FR106" s="53"/>
    </row>
    <row r="107" spans="2:174" ht="18" customHeight="1" x14ac:dyDescent="0.3">
      <c r="B107" s="6"/>
      <c r="AP107" s="8"/>
      <c r="AR107" s="6"/>
      <c r="AS107" s="97" t="s">
        <v>114</v>
      </c>
      <c r="AT107" s="97"/>
      <c r="AU107" s="97"/>
      <c r="AV107" s="97"/>
      <c r="AW107" s="97"/>
      <c r="AX107" s="9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7"/>
      <c r="CE107" s="97"/>
      <c r="CF107" s="8"/>
      <c r="DW107" s="1">
        <f t="shared" si="19"/>
        <v>20.8</v>
      </c>
      <c r="DX107" s="12" t="str">
        <f t="shared" si="29"/>
        <v>0.0001-1.297918i</v>
      </c>
      <c r="DY107" s="13" t="str">
        <f t="shared" si="17"/>
        <v>0.000000001</v>
      </c>
      <c r="DZ107" s="13" t="str">
        <f t="shared" si="25"/>
        <v>0.010799+22.461241i</v>
      </c>
      <c r="EA107" s="14" t="str">
        <f t="shared" si="26"/>
        <v>5399336805.55556+0.0001i</v>
      </c>
      <c r="EC107" s="1" t="str">
        <f t="shared" si="18"/>
        <v>0.010799001+22.461241i</v>
      </c>
      <c r="ED107" s="1" t="str">
        <f t="shared" si="27"/>
        <v>58307443.560285+121275805229.754i</v>
      </c>
      <c r="EE107" s="1" t="str">
        <f t="shared" si="28"/>
        <v>5399336805.56636+22.461341i</v>
      </c>
      <c r="EF107" s="1" t="str">
        <f t="shared" si="30"/>
        <v>0.010799+22.461241i</v>
      </c>
      <c r="EG107" s="1" t="str">
        <f t="shared" si="31"/>
        <v>0.010899+21.163323i</v>
      </c>
      <c r="FN107" s="1">
        <f t="shared" si="15"/>
        <v>21.4</v>
      </c>
      <c r="FO107" s="1">
        <f t="shared" si="16"/>
        <v>21.84763771855955</v>
      </c>
      <c r="FR107" s="53"/>
    </row>
    <row r="108" spans="2:174" ht="18" customHeight="1" x14ac:dyDescent="0.25">
      <c r="B108" s="6"/>
      <c r="G108" s="35" t="s">
        <v>115</v>
      </c>
      <c r="H108" s="54" t="s">
        <v>116</v>
      </c>
      <c r="I108" s="38"/>
      <c r="J108" s="38"/>
      <c r="K108" s="38"/>
      <c r="L108" s="38"/>
      <c r="M108" s="38"/>
      <c r="N108" s="38"/>
      <c r="O108" s="38"/>
      <c r="Q108" s="24"/>
      <c r="R108" s="24"/>
      <c r="S108" s="24"/>
      <c r="T108" s="24"/>
      <c r="U108" s="24"/>
      <c r="V108" s="24"/>
      <c r="W108" s="32" t="s">
        <v>117</v>
      </c>
      <c r="X108" s="104" t="s">
        <v>118</v>
      </c>
      <c r="Y108" s="104"/>
      <c r="Z108" s="104"/>
      <c r="AA108" s="104"/>
      <c r="AB108" s="104"/>
      <c r="AC108" s="104"/>
      <c r="AD108" s="104"/>
      <c r="AE108" s="104"/>
      <c r="AF108" s="104"/>
      <c r="AG108" s="104"/>
      <c r="AH108" s="104"/>
      <c r="AI108" s="104"/>
      <c r="AJ108" s="104"/>
      <c r="AK108" s="104"/>
      <c r="AL108" s="104"/>
      <c r="AM108" s="104"/>
      <c r="AN108" s="104"/>
      <c r="AO108" s="104"/>
      <c r="AP108" s="8"/>
      <c r="AR108" s="6"/>
      <c r="AT108" s="113" t="s">
        <v>119</v>
      </c>
      <c r="AU108" s="113"/>
      <c r="AV108" s="113"/>
      <c r="AW108" s="113"/>
      <c r="AX108" s="113"/>
      <c r="AY108" s="113"/>
      <c r="AZ108" s="113"/>
      <c r="BA108" s="113"/>
      <c r="BB108" s="113"/>
      <c r="BC108" s="113"/>
      <c r="BD108" s="113"/>
      <c r="BE108" s="113"/>
      <c r="BF108" s="113"/>
      <c r="BG108" s="113"/>
      <c r="BH108" s="118">
        <f>0.1*AJ29*3</f>
        <v>1102.375386894867</v>
      </c>
      <c r="BI108" s="118"/>
      <c r="BJ108" s="118"/>
      <c r="BK108" s="118"/>
      <c r="BL108" s="1" t="str">
        <f>"Watts, 3-Phase or "&amp;ROUND(BH108*3.412141,0)&amp;" BTUs/Hour"</f>
        <v>Watts, 3-Phase or 3761 BTUs/Hour</v>
      </c>
      <c r="CF108" s="8"/>
      <c r="DW108" s="1">
        <f t="shared" si="19"/>
        <v>21</v>
      </c>
      <c r="DX108" s="12" t="str">
        <f t="shared" si="29"/>
        <v>0.0001-1.285556i</v>
      </c>
      <c r="DY108" s="13" t="str">
        <f t="shared" si="17"/>
        <v>0.000000001</v>
      </c>
      <c r="DZ108" s="13" t="str">
        <f t="shared" si="25"/>
        <v>0.010799+22.677215i</v>
      </c>
      <c r="EA108" s="14" t="str">
        <f t="shared" si="26"/>
        <v>5399336805.55556+0.0001i</v>
      </c>
      <c r="EC108" s="1" t="str">
        <f t="shared" si="18"/>
        <v>0.010799001+22.677215i</v>
      </c>
      <c r="ED108" s="1" t="str">
        <f t="shared" si="27"/>
        <v>58307443.560264+122441921596.997i</v>
      </c>
      <c r="EE108" s="1" t="str">
        <f t="shared" si="28"/>
        <v>5399336805.56636+22.677315i</v>
      </c>
      <c r="EF108" s="1" t="str">
        <f t="shared" si="30"/>
        <v>0.010799+22.677215i</v>
      </c>
      <c r="EG108" s="1" t="str">
        <f t="shared" si="31"/>
        <v>0.010899+21.391659i</v>
      </c>
      <c r="FN108" s="1">
        <f t="shared" si="15"/>
        <v>21.6</v>
      </c>
      <c r="FO108" s="1">
        <f t="shared" si="16"/>
        <v>22.075291690524097</v>
      </c>
      <c r="FR108" s="53"/>
    </row>
    <row r="109" spans="2:174" ht="18" customHeight="1" x14ac:dyDescent="0.25">
      <c r="B109" s="6"/>
      <c r="G109" s="35" t="s">
        <v>34</v>
      </c>
      <c r="H109" s="54" t="str">
        <f>AE13</f>
        <v>Stage 1</v>
      </c>
      <c r="I109" s="38"/>
      <c r="J109" s="38"/>
      <c r="K109" s="38"/>
      <c r="L109" s="38"/>
      <c r="M109" s="38"/>
      <c r="N109" s="38"/>
      <c r="O109" s="38"/>
      <c r="AP109" s="8"/>
      <c r="AR109" s="6"/>
      <c r="AT109" s="119" t="s">
        <v>120</v>
      </c>
      <c r="AU109" s="119"/>
      <c r="AV109" s="119"/>
      <c r="AW109" s="119"/>
      <c r="AX109" s="119"/>
      <c r="AY109" s="119"/>
      <c r="AZ109" s="119"/>
      <c r="BA109" s="119"/>
      <c r="BB109" s="119"/>
      <c r="BC109" s="119"/>
      <c r="BD109" s="119"/>
      <c r="BE109" s="119"/>
      <c r="BF109" s="119"/>
      <c r="BG109" s="119"/>
      <c r="BH109" s="107">
        <f>(1.9*BJ19+12)*S29*3</f>
        <v>3033.55373126718</v>
      </c>
      <c r="BI109" s="107"/>
      <c r="BJ109" s="107"/>
      <c r="BK109" s="107"/>
      <c r="BL109" s="1" t="str">
        <f>"Watts, 3-Phase or "&amp;ROUND(BH109*3.412141,0)&amp;" BTUs/Hour"</f>
        <v>Watts, 3-Phase or 10351 BTUs/Hour</v>
      </c>
      <c r="CF109" s="8"/>
      <c r="DW109" s="1">
        <f t="shared" si="19"/>
        <v>21.2</v>
      </c>
      <c r="DX109" s="12" t="str">
        <f t="shared" si="29"/>
        <v>0.0001-1.273428i</v>
      </c>
      <c r="DY109" s="13" t="str">
        <f t="shared" si="17"/>
        <v>0.000000001</v>
      </c>
      <c r="DZ109" s="13" t="str">
        <f t="shared" si="25"/>
        <v>0.010799+22.893188i</v>
      </c>
      <c r="EA109" s="14" t="str">
        <f t="shared" si="26"/>
        <v>5399336805.55556+0.0001i</v>
      </c>
      <c r="EC109" s="1" t="str">
        <f t="shared" si="18"/>
        <v>0.010799001+22.893188i</v>
      </c>
      <c r="ED109" s="1" t="str">
        <f t="shared" si="27"/>
        <v>58307443.560242+123608032564.903i</v>
      </c>
      <c r="EE109" s="1" t="str">
        <f t="shared" si="28"/>
        <v>5399336805.56636+22.893288i</v>
      </c>
      <c r="EF109" s="1" t="str">
        <f t="shared" si="30"/>
        <v>0.010799+22.893188i</v>
      </c>
      <c r="EG109" s="1" t="str">
        <f t="shared" si="31"/>
        <v>0.010899+21.61976i</v>
      </c>
      <c r="FN109" s="1">
        <f t="shared" ref="FN109:FN172" si="32">DW112</f>
        <v>21.8</v>
      </c>
      <c r="FO109" s="1">
        <f t="shared" ref="FO109:FO172" si="33">IMABS(EG112)</f>
        <v>22.302730663086638</v>
      </c>
      <c r="FR109" s="53"/>
    </row>
    <row r="110" spans="2:174" ht="18" customHeight="1" thickBot="1" x14ac:dyDescent="0.3">
      <c r="B110" s="6"/>
      <c r="G110" s="35" t="s">
        <v>121</v>
      </c>
      <c r="H110" s="120">
        <f>S19</f>
        <v>5</v>
      </c>
      <c r="I110" s="121"/>
      <c r="J110" s="121"/>
      <c r="K110" s="121"/>
      <c r="L110" s="121"/>
      <c r="M110" s="121"/>
      <c r="N110" s="121"/>
      <c r="O110" s="121"/>
      <c r="AP110" s="8"/>
      <c r="AR110" s="6"/>
      <c r="AT110" s="74" t="s">
        <v>122</v>
      </c>
      <c r="AU110" s="74"/>
      <c r="AV110" s="74"/>
      <c r="AW110" s="74"/>
      <c r="AX110" s="74"/>
      <c r="AY110" s="74"/>
      <c r="AZ110" s="74"/>
      <c r="BA110" s="74"/>
      <c r="BB110" s="74"/>
      <c r="BC110" s="74"/>
      <c r="BD110" s="74"/>
      <c r="BE110" s="74"/>
      <c r="BF110" s="74"/>
      <c r="BG110" s="74"/>
      <c r="BH110" s="112">
        <f>3*EA282</f>
        <v>2505.9307026629695</v>
      </c>
      <c r="BI110" s="112"/>
      <c r="BJ110" s="112"/>
      <c r="BK110" s="112"/>
      <c r="BL110" s="1" t="str">
        <f>"Watts, 3-Phase or "&amp;ROUND(BH110*3.412141,0)&amp;" BTUs/Hour"</f>
        <v>Watts, 3-Phase or 8551 BTUs/Hour</v>
      </c>
      <c r="CF110" s="8"/>
      <c r="DW110" s="1">
        <f t="shared" si="19"/>
        <v>21.4</v>
      </c>
      <c r="DX110" s="12" t="str">
        <f t="shared" si="29"/>
        <v>0.0001-1.261527i</v>
      </c>
      <c r="DY110" s="13" t="str">
        <f t="shared" si="17"/>
        <v>0.000000001</v>
      </c>
      <c r="DZ110" s="13" t="str">
        <f t="shared" si="25"/>
        <v>0.010799+23.109162i</v>
      </c>
      <c r="EA110" s="14" t="str">
        <f t="shared" si="26"/>
        <v>5399336805.55556+0.0001i</v>
      </c>
      <c r="EC110" s="1" t="str">
        <f t="shared" si="18"/>
        <v>0.010799001+23.109162i</v>
      </c>
      <c r="ED110" s="1" t="str">
        <f t="shared" si="27"/>
        <v>58307443.56022+124774148932.146i</v>
      </c>
      <c r="EE110" s="1" t="str">
        <f t="shared" si="28"/>
        <v>5399336805.56636+23.109262i</v>
      </c>
      <c r="EF110" s="1" t="str">
        <f t="shared" si="30"/>
        <v>0.010799+23.109162i</v>
      </c>
      <c r="EG110" s="1" t="str">
        <f t="shared" si="31"/>
        <v>0.010899+21.847635i</v>
      </c>
      <c r="FN110" s="1">
        <f t="shared" si="32"/>
        <v>22</v>
      </c>
      <c r="FO110" s="1">
        <f t="shared" si="33"/>
        <v>22.52996263622736</v>
      </c>
    </row>
    <row r="111" spans="2:174" ht="18" customHeight="1" thickTop="1" x14ac:dyDescent="0.25">
      <c r="B111" s="6"/>
      <c r="H111" s="18"/>
      <c r="AP111" s="8"/>
      <c r="AR111" s="6"/>
      <c r="AT111" s="113" t="str">
        <f>"Total "&amp;S20&amp;" Hz Losses:"</f>
        <v>Total 60 Hz Losses:</v>
      </c>
      <c r="AU111" s="113"/>
      <c r="AV111" s="113"/>
      <c r="AW111" s="113"/>
      <c r="AX111" s="113"/>
      <c r="AY111" s="113"/>
      <c r="AZ111" s="113"/>
      <c r="BA111" s="113"/>
      <c r="BB111" s="113"/>
      <c r="BC111" s="113"/>
      <c r="BD111" s="113"/>
      <c r="BE111" s="113"/>
      <c r="BF111" s="113"/>
      <c r="BG111" s="113"/>
      <c r="BH111" s="109">
        <f>SUM(BH108:BK110)</f>
        <v>6641.859820825016</v>
      </c>
      <c r="BI111" s="109"/>
      <c r="BJ111" s="109"/>
      <c r="BK111" s="109"/>
      <c r="BL111" s="1" t="str">
        <f>"Watts, 3-Phase or "&amp;ROUND(BH111*3.412141,0)&amp;" BTUs/Hour"</f>
        <v>Watts, 3-Phase or 22663 BTUs/Hour</v>
      </c>
      <c r="CF111" s="8"/>
      <c r="DW111" s="1">
        <f t="shared" si="19"/>
        <v>21.6</v>
      </c>
      <c r="DX111" s="12" t="str">
        <f t="shared" si="29"/>
        <v>0.0001-1.249846i</v>
      </c>
      <c r="DY111" s="13" t="str">
        <f t="shared" si="17"/>
        <v>0.000000001</v>
      </c>
      <c r="DZ111" s="13" t="str">
        <f t="shared" si="25"/>
        <v>0.010799+23.325135i</v>
      </c>
      <c r="EA111" s="14" t="str">
        <f t="shared" si="26"/>
        <v>5399336805.55556+0.0001i</v>
      </c>
      <c r="EC111" s="1" t="str">
        <f t="shared" si="18"/>
        <v>0.010799001+23.325135i</v>
      </c>
      <c r="ED111" s="1" t="str">
        <f t="shared" si="27"/>
        <v>58307443.560199+125940259900.052i</v>
      </c>
      <c r="EE111" s="1" t="str">
        <f t="shared" si="28"/>
        <v>5399336805.56636+23.325235i</v>
      </c>
      <c r="EF111" s="1" t="str">
        <f t="shared" si="30"/>
        <v>0.010799+23.325135i</v>
      </c>
      <c r="EG111" s="1" t="str">
        <f t="shared" si="31"/>
        <v>0.010899+22.075289i</v>
      </c>
      <c r="FN111" s="1">
        <f t="shared" si="32"/>
        <v>22.2</v>
      </c>
      <c r="FO111" s="1">
        <f t="shared" si="33"/>
        <v>22.756990609927865</v>
      </c>
    </row>
    <row r="112" spans="2:174" ht="18" customHeight="1" x14ac:dyDescent="0.3">
      <c r="B112" s="6"/>
      <c r="D112" s="114" t="s">
        <v>123</v>
      </c>
      <c r="E112" s="114"/>
      <c r="F112" s="114"/>
      <c r="G112" s="114"/>
      <c r="H112" s="114"/>
      <c r="I112" s="114"/>
      <c r="J112" s="114"/>
      <c r="K112" s="114"/>
      <c r="M112" s="97" t="s">
        <v>124</v>
      </c>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8"/>
      <c r="AR112" s="6"/>
      <c r="CF112" s="8"/>
      <c r="DW112" s="1">
        <f t="shared" si="19"/>
        <v>21.8</v>
      </c>
      <c r="DX112" s="12" t="str">
        <f t="shared" si="29"/>
        <v>0.0001-1.23838i</v>
      </c>
      <c r="DY112" s="13" t="str">
        <f t="shared" ref="DY112:DY175" si="34">COMPLEX(0.000000001,-1*$CL$25/DW112)</f>
        <v>0.000000001</v>
      </c>
      <c r="DZ112" s="13" t="str">
        <f t="shared" si="25"/>
        <v>0.010799+23.541108i</v>
      </c>
      <c r="EA112" s="14" t="str">
        <f t="shared" si="26"/>
        <v>5399336805.55556+0.0001i</v>
      </c>
      <c r="EC112" s="1" t="str">
        <f t="shared" ref="EC112:EC175" si="35">IMSUM(DZ112,DY112)</f>
        <v>0.010799001+23.541108i</v>
      </c>
      <c r="ED112" s="1" t="str">
        <f t="shared" si="27"/>
        <v>58307443.560177+127106370867.958i</v>
      </c>
      <c r="EE112" s="1" t="str">
        <f t="shared" si="28"/>
        <v>5399336805.56636+23.541208i</v>
      </c>
      <c r="EF112" s="1" t="str">
        <f t="shared" si="30"/>
        <v>0.010799+23.541108i</v>
      </c>
      <c r="EG112" s="1" t="str">
        <f t="shared" si="31"/>
        <v>0.010899+22.302728i</v>
      </c>
      <c r="FN112" s="1">
        <f t="shared" si="32"/>
        <v>22.4</v>
      </c>
      <c r="FO112" s="1">
        <f t="shared" si="33"/>
        <v>22.98382258416996</v>
      </c>
    </row>
    <row r="113" spans="2:171" ht="18" customHeight="1" x14ac:dyDescent="0.25">
      <c r="B113" s="6"/>
      <c r="D113" s="115" t="s">
        <v>125</v>
      </c>
      <c r="E113" s="115"/>
      <c r="F113" s="115"/>
      <c r="G113" s="116"/>
      <c r="H113" s="117" t="s">
        <v>126</v>
      </c>
      <c r="I113" s="115"/>
      <c r="J113" s="115"/>
      <c r="K113" s="115"/>
      <c r="V113" s="35" t="s">
        <v>127</v>
      </c>
      <c r="W113" s="108">
        <v>3</v>
      </c>
      <c r="X113" s="108"/>
      <c r="Y113" s="108"/>
      <c r="Z113" s="55"/>
      <c r="AA113" s="55"/>
      <c r="AB113" s="55"/>
      <c r="AC113" s="55"/>
      <c r="AD113" s="55"/>
      <c r="AE113" s="55"/>
      <c r="AF113" s="55"/>
      <c r="AG113" s="55"/>
      <c r="AH113" s="55"/>
      <c r="AI113" s="55"/>
      <c r="AJ113" s="55"/>
      <c r="AK113" s="55"/>
      <c r="AL113" s="55"/>
      <c r="AM113" s="55"/>
      <c r="AN113" s="55"/>
      <c r="AP113" s="8"/>
      <c r="AR113" s="6"/>
      <c r="CF113" s="8"/>
      <c r="DW113" s="1">
        <f t="shared" si="19"/>
        <v>22</v>
      </c>
      <c r="DX113" s="12" t="str">
        <f t="shared" si="29"/>
        <v>0.0001-1.227122i</v>
      </c>
      <c r="DY113" s="13" t="str">
        <f t="shared" si="34"/>
        <v>0.000000001</v>
      </c>
      <c r="DZ113" s="13" t="str">
        <f t="shared" si="25"/>
        <v>0.010799+23.757082i</v>
      </c>
      <c r="EA113" s="14" t="str">
        <f t="shared" si="26"/>
        <v>5399336805.55556+0.0001i</v>
      </c>
      <c r="EC113" s="1" t="str">
        <f t="shared" si="35"/>
        <v>0.010799001+23.757082i</v>
      </c>
      <c r="ED113" s="1" t="str">
        <f t="shared" si="27"/>
        <v>58307443.560156+128272487235.201i</v>
      </c>
      <c r="EE113" s="1" t="str">
        <f t="shared" si="28"/>
        <v>5399336805.56636+23.757182i</v>
      </c>
      <c r="EF113" s="1" t="str">
        <f t="shared" si="30"/>
        <v>0.010799+23.757082i</v>
      </c>
      <c r="EG113" s="1" t="str">
        <f t="shared" si="31"/>
        <v>0.010899+22.52996i</v>
      </c>
      <c r="FN113" s="1">
        <f t="shared" si="32"/>
        <v>22.6</v>
      </c>
      <c r="FO113" s="1">
        <f t="shared" si="33"/>
        <v>23.210460558936887</v>
      </c>
    </row>
    <row r="114" spans="2:171" ht="18" customHeight="1" x14ac:dyDescent="0.3">
      <c r="B114" s="6"/>
      <c r="D114" s="98">
        <f t="shared" ref="D114:D129" si="36">C61</f>
        <v>1</v>
      </c>
      <c r="E114" s="99"/>
      <c r="F114" s="99"/>
      <c r="G114" s="99"/>
      <c r="H114" s="110">
        <f>U61*S35</f>
        <v>417.1862180215175</v>
      </c>
      <c r="I114" s="98"/>
      <c r="J114" s="98"/>
      <c r="K114" s="98"/>
      <c r="V114" s="35" t="s">
        <v>128</v>
      </c>
      <c r="W114" s="108">
        <v>1</v>
      </c>
      <c r="X114" s="108"/>
      <c r="Y114" s="108"/>
      <c r="Z114" s="55"/>
      <c r="AA114" s="55"/>
      <c r="AB114" s="55"/>
      <c r="AC114" s="55"/>
      <c r="AD114" s="55"/>
      <c r="AE114" s="55"/>
      <c r="AF114" s="55"/>
      <c r="AG114" s="55"/>
      <c r="AH114" s="55"/>
      <c r="AI114" s="55"/>
      <c r="AJ114" s="55"/>
      <c r="AK114" s="55"/>
      <c r="AL114" s="55"/>
      <c r="AM114" s="55"/>
      <c r="AN114" s="55"/>
      <c r="AP114" s="8"/>
      <c r="AR114" s="6"/>
      <c r="AT114" s="97" t="s">
        <v>129</v>
      </c>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7"/>
      <c r="CE114" s="97"/>
      <c r="CF114" s="111"/>
      <c r="DW114" s="1">
        <f t="shared" ref="DW114:DW177" si="37">ROUND(DW113+0.2,1)</f>
        <v>22.2</v>
      </c>
      <c r="DX114" s="12" t="str">
        <f t="shared" si="29"/>
        <v>0.0001-1.216067i</v>
      </c>
      <c r="DY114" s="13" t="str">
        <f t="shared" si="34"/>
        <v>0.000000001</v>
      </c>
      <c r="DZ114" s="13" t="str">
        <f t="shared" si="25"/>
        <v>0.010799+23.973055i</v>
      </c>
      <c r="EA114" s="14" t="str">
        <f t="shared" si="26"/>
        <v>5399336805.55556+0.0001i</v>
      </c>
      <c r="EC114" s="1" t="str">
        <f t="shared" si="35"/>
        <v>0.010799001+23.973055i</v>
      </c>
      <c r="ED114" s="1" t="str">
        <f t="shared" si="27"/>
        <v>58307443.560134+129438598203.108i</v>
      </c>
      <c r="EE114" s="1" t="str">
        <f t="shared" si="28"/>
        <v>5399336805.56636+23.973155i</v>
      </c>
      <c r="EF114" s="1" t="str">
        <f t="shared" si="30"/>
        <v>0.010799+23.973055i</v>
      </c>
      <c r="EG114" s="1" t="str">
        <f t="shared" si="31"/>
        <v>0.010899+22.756988i</v>
      </c>
      <c r="FN114" s="1">
        <f t="shared" si="32"/>
        <v>22.8</v>
      </c>
      <c r="FO114" s="1">
        <f t="shared" si="33"/>
        <v>23.436913534211833</v>
      </c>
    </row>
    <row r="115" spans="2:171" ht="18" customHeight="1" thickBot="1" x14ac:dyDescent="0.3">
      <c r="B115" s="6"/>
      <c r="D115" s="98">
        <f t="shared" si="36"/>
        <v>2</v>
      </c>
      <c r="E115" s="99"/>
      <c r="F115" s="99"/>
      <c r="G115" s="99"/>
      <c r="H115" s="100">
        <f t="shared" ref="H115:H129" si="38">$S$36*U62</f>
        <v>0</v>
      </c>
      <c r="I115" s="101"/>
      <c r="J115" s="101"/>
      <c r="K115" s="101"/>
      <c r="V115" s="35" t="s">
        <v>130</v>
      </c>
      <c r="W115" s="106">
        <f>S17</f>
        <v>12.47</v>
      </c>
      <c r="X115" s="106"/>
      <c r="Y115" s="106"/>
      <c r="Z115" s="1" t="s">
        <v>42</v>
      </c>
      <c r="AP115" s="8"/>
      <c r="AR115" s="6"/>
      <c r="AT115" s="18"/>
      <c r="AV115" s="18"/>
      <c r="AW115" s="18"/>
      <c r="AX115" s="18"/>
      <c r="AY115" s="18"/>
      <c r="AZ115" s="18"/>
      <c r="BA115" s="18"/>
      <c r="BB115" s="18"/>
      <c r="BC115" s="18"/>
      <c r="BD115" s="18"/>
      <c r="BE115" s="18"/>
      <c r="BF115" s="18"/>
      <c r="BG115" s="35" t="s">
        <v>131</v>
      </c>
      <c r="BH115" s="112">
        <f>3*SUM(EB282:EP282)</f>
        <v>706.2332541666666</v>
      </c>
      <c r="BI115" s="112"/>
      <c r="BJ115" s="112"/>
      <c r="BK115" s="112"/>
      <c r="BM115" s="1" t="str">
        <f>"Watts, 3-Phase or "&amp;ROUND(BH115*3.412141,0)&amp;" BTUs/Hour"</f>
        <v>Watts, 3-Phase or 2410 BTUs/Hour</v>
      </c>
      <c r="CF115" s="5"/>
      <c r="DW115" s="1">
        <f t="shared" si="37"/>
        <v>22.4</v>
      </c>
      <c r="DX115" s="12" t="str">
        <f t="shared" si="29"/>
        <v>0.0001-1.205209i</v>
      </c>
      <c r="DY115" s="13" t="str">
        <f t="shared" si="34"/>
        <v>0.000000001</v>
      </c>
      <c r="DZ115" s="13" t="str">
        <f t="shared" si="25"/>
        <v>0.010799+24.189029i</v>
      </c>
      <c r="EA115" s="14" t="str">
        <f t="shared" si="26"/>
        <v>5399336805.55556+0.0001i</v>
      </c>
      <c r="EC115" s="1" t="str">
        <f t="shared" si="35"/>
        <v>0.010799001+24.189029i</v>
      </c>
      <c r="ED115" s="1" t="str">
        <f t="shared" si="27"/>
        <v>58307443.560112+130604714570.351i</v>
      </c>
      <c r="EE115" s="1" t="str">
        <f t="shared" si="28"/>
        <v>5399336805.56636+24.189129i</v>
      </c>
      <c r="EF115" s="1" t="str">
        <f t="shared" si="30"/>
        <v>0.010799+24.189029i</v>
      </c>
      <c r="EG115" s="1" t="str">
        <f t="shared" si="31"/>
        <v>0.010899+22.98382i</v>
      </c>
      <c r="FN115" s="1">
        <f t="shared" si="32"/>
        <v>23</v>
      </c>
      <c r="FO115" s="1">
        <f t="shared" si="33"/>
        <v>23.663182509979531</v>
      </c>
    </row>
    <row r="116" spans="2:171" ht="18" customHeight="1" thickTop="1" x14ac:dyDescent="0.25">
      <c r="B116" s="6"/>
      <c r="D116" s="98">
        <f t="shared" si="36"/>
        <v>3</v>
      </c>
      <c r="E116" s="99"/>
      <c r="F116" s="99"/>
      <c r="G116" s="99"/>
      <c r="H116" s="100">
        <f t="shared" si="38"/>
        <v>0</v>
      </c>
      <c r="I116" s="101"/>
      <c r="J116" s="101"/>
      <c r="K116" s="101"/>
      <c r="V116" s="35" t="s">
        <v>132</v>
      </c>
      <c r="W116" s="108">
        <v>95</v>
      </c>
      <c r="X116" s="108"/>
      <c r="Y116" s="108"/>
      <c r="Z116" s="1" t="s">
        <v>42</v>
      </c>
      <c r="AP116" s="8"/>
      <c r="AR116" s="6"/>
      <c r="AT116" s="18"/>
      <c r="AV116" s="18"/>
      <c r="AW116" s="18"/>
      <c r="AX116" s="18"/>
      <c r="AY116" s="18"/>
      <c r="AZ116" s="18"/>
      <c r="BA116" s="18"/>
      <c r="BB116" s="18"/>
      <c r="BC116" s="18"/>
      <c r="BD116" s="18"/>
      <c r="BE116" s="18"/>
      <c r="BF116" s="18"/>
      <c r="BG116" s="35" t="s">
        <v>133</v>
      </c>
      <c r="BH116" s="109">
        <f>SUM(BH115)</f>
        <v>706.2332541666666</v>
      </c>
      <c r="BI116" s="109"/>
      <c r="BJ116" s="109"/>
      <c r="BK116" s="109"/>
      <c r="BM116" s="1" t="str">
        <f>"Watts, 3-Phase or "&amp;ROUND(BH116*3.412141,0)&amp;" BTUs/Hour"</f>
        <v>Watts, 3-Phase or 2410 BTUs/Hour</v>
      </c>
      <c r="CF116" s="8"/>
      <c r="DW116" s="1">
        <f t="shared" si="37"/>
        <v>22.6</v>
      </c>
      <c r="DX116" s="12" t="str">
        <f t="shared" si="29"/>
        <v>0.0001-1.194544i</v>
      </c>
      <c r="DY116" s="13" t="str">
        <f t="shared" si="34"/>
        <v>0.000000001</v>
      </c>
      <c r="DZ116" s="13" t="str">
        <f t="shared" si="25"/>
        <v>0.010799+24.405002i</v>
      </c>
      <c r="EA116" s="14" t="str">
        <f t="shared" si="26"/>
        <v>5399336805.55556+0.0001i</v>
      </c>
      <c r="EC116" s="1" t="str">
        <f t="shared" si="35"/>
        <v>0.010799001+24.405002i</v>
      </c>
      <c r="ED116" s="1" t="str">
        <f t="shared" si="27"/>
        <v>58307443.560091+131770825538.257i</v>
      </c>
      <c r="EE116" s="1" t="str">
        <f t="shared" si="28"/>
        <v>5399336805.56636+24.405102i</v>
      </c>
      <c r="EF116" s="1" t="str">
        <f t="shared" si="30"/>
        <v>0.010799+24.405002i</v>
      </c>
      <c r="EG116" s="1" t="str">
        <f t="shared" si="31"/>
        <v>0.010899+23.210458i</v>
      </c>
      <c r="FN116" s="1">
        <f t="shared" si="32"/>
        <v>23.2</v>
      </c>
      <c r="FO116" s="1">
        <f t="shared" si="33"/>
        <v>23.88927548622457</v>
      </c>
    </row>
    <row r="117" spans="2:171" ht="18" customHeight="1" x14ac:dyDescent="0.25">
      <c r="B117" s="6"/>
      <c r="D117" s="98">
        <f t="shared" si="36"/>
        <v>4</v>
      </c>
      <c r="E117" s="99"/>
      <c r="F117" s="99"/>
      <c r="G117" s="99"/>
      <c r="H117" s="100">
        <f t="shared" si="38"/>
        <v>0</v>
      </c>
      <c r="I117" s="101"/>
      <c r="J117" s="101"/>
      <c r="K117" s="101"/>
      <c r="V117" s="35" t="s">
        <v>134</v>
      </c>
      <c r="W117" s="108">
        <v>35</v>
      </c>
      <c r="X117" s="108"/>
      <c r="Y117" s="108"/>
      <c r="Z117" s="1" t="s">
        <v>42</v>
      </c>
      <c r="AP117" s="8"/>
      <c r="AR117" s="6"/>
      <c r="BG117" s="29"/>
      <c r="CF117" s="8"/>
      <c r="DW117" s="1">
        <f t="shared" si="37"/>
        <v>22.8</v>
      </c>
      <c r="DX117" s="12" t="str">
        <f t="shared" si="29"/>
        <v>0.0001-1.184065i</v>
      </c>
      <c r="DY117" s="13" t="str">
        <f t="shared" si="34"/>
        <v>0.000000001</v>
      </c>
      <c r="DZ117" s="13" t="str">
        <f t="shared" si="25"/>
        <v>0.010799+24.620976i</v>
      </c>
      <c r="EA117" s="14" t="str">
        <f t="shared" si="26"/>
        <v>5399336805.55556+0.0001i</v>
      </c>
      <c r="EC117" s="1" t="str">
        <f t="shared" si="35"/>
        <v>0.010799001+24.620976i</v>
      </c>
      <c r="ED117" s="1" t="str">
        <f t="shared" si="27"/>
        <v>58307443.560069+132936941905.5i</v>
      </c>
      <c r="EE117" s="1" t="str">
        <f t="shared" si="28"/>
        <v>5399336805.56636+24.621076i</v>
      </c>
      <c r="EF117" s="1" t="str">
        <f t="shared" si="30"/>
        <v>0.010799+24.620976i</v>
      </c>
      <c r="EG117" s="1" t="str">
        <f t="shared" si="31"/>
        <v>0.010899+23.436911i</v>
      </c>
      <c r="FN117" s="1">
        <f t="shared" si="32"/>
        <v>23.4</v>
      </c>
      <c r="FO117" s="1">
        <f t="shared" si="33"/>
        <v>24.115194462932806</v>
      </c>
    </row>
    <row r="118" spans="2:171" ht="18" customHeight="1" x14ac:dyDescent="0.35">
      <c r="B118" s="6"/>
      <c r="D118" s="98">
        <f t="shared" si="36"/>
        <v>5</v>
      </c>
      <c r="E118" s="99"/>
      <c r="F118" s="99"/>
      <c r="G118" s="99"/>
      <c r="H118" s="100">
        <f t="shared" si="38"/>
        <v>150</v>
      </c>
      <c r="I118" s="101"/>
      <c r="J118" s="101"/>
      <c r="K118" s="101"/>
      <c r="V118" s="35" t="s">
        <v>135</v>
      </c>
      <c r="W118" s="106">
        <f>S20</f>
        <v>60</v>
      </c>
      <c r="X118" s="106"/>
      <c r="Y118" s="106"/>
      <c r="Z118" s="1" t="s">
        <v>54</v>
      </c>
      <c r="AP118" s="8"/>
      <c r="AR118" s="6"/>
      <c r="AT118" s="18"/>
      <c r="AV118" s="18"/>
      <c r="AW118" s="18"/>
      <c r="AX118" s="18"/>
      <c r="AY118" s="18"/>
      <c r="AZ118" s="18"/>
      <c r="BA118" s="18"/>
      <c r="BB118" s="18"/>
      <c r="BC118" s="18"/>
      <c r="BD118" s="18"/>
      <c r="BE118" s="18"/>
      <c r="BF118" s="18"/>
      <c r="BG118" s="35" t="s">
        <v>136</v>
      </c>
      <c r="BH118" s="107">
        <f>SUM(BH116,BH111)</f>
        <v>7348.0930749916824</v>
      </c>
      <c r="BI118" s="107"/>
      <c r="BJ118" s="107"/>
      <c r="BK118" s="107"/>
      <c r="BM118" s="1" t="str">
        <f>"Watts, 3-Phase or "&amp;ROUND(BH118*3.412141,0)&amp;" BTUs/Hour"</f>
        <v>Watts, 3-Phase or 25073 BTUs/Hour</v>
      </c>
      <c r="CA118" s="56"/>
      <c r="CD118" s="56"/>
      <c r="CE118" s="56"/>
      <c r="CF118" s="8"/>
      <c r="DW118" s="1">
        <f t="shared" si="37"/>
        <v>23</v>
      </c>
      <c r="DX118" s="12" t="str">
        <f t="shared" si="29"/>
        <v>0.0001-1.173769i</v>
      </c>
      <c r="DY118" s="13" t="str">
        <f t="shared" si="34"/>
        <v>0.000000001</v>
      </c>
      <c r="DZ118" s="13" t="str">
        <f t="shared" si="25"/>
        <v>0.010799+24.836949i</v>
      </c>
      <c r="EA118" s="14" t="str">
        <f t="shared" si="26"/>
        <v>5399336805.55556+0.0001i</v>
      </c>
      <c r="EC118" s="1" t="str">
        <f t="shared" si="35"/>
        <v>0.010799001+24.836949i</v>
      </c>
      <c r="ED118" s="1" t="str">
        <f t="shared" si="27"/>
        <v>58307443.560048+134103052873.406i</v>
      </c>
      <c r="EE118" s="1" t="str">
        <f t="shared" si="28"/>
        <v>5399336805.56636+24.837049i</v>
      </c>
      <c r="EF118" s="1" t="str">
        <f t="shared" si="30"/>
        <v>0.010799+24.836949i</v>
      </c>
      <c r="EG118" s="1" t="str">
        <f t="shared" si="31"/>
        <v>0.010899+23.66318i</v>
      </c>
      <c r="FN118" s="1">
        <f t="shared" si="32"/>
        <v>23.6</v>
      </c>
      <c r="FO118" s="1">
        <f t="shared" si="33"/>
        <v>24.340945440090238</v>
      </c>
    </row>
    <row r="119" spans="2:171" ht="18" customHeight="1" x14ac:dyDescent="0.25">
      <c r="B119" s="6"/>
      <c r="D119" s="98">
        <f t="shared" si="36"/>
        <v>7</v>
      </c>
      <c r="E119" s="99"/>
      <c r="F119" s="99"/>
      <c r="G119" s="99"/>
      <c r="H119" s="100">
        <f t="shared" si="38"/>
        <v>119.99999999999997</v>
      </c>
      <c r="I119" s="101"/>
      <c r="J119" s="101"/>
      <c r="K119" s="101"/>
      <c r="V119" s="35" t="s">
        <v>137</v>
      </c>
      <c r="W119" s="105">
        <f>AJ35</f>
        <v>2.8645216221314431</v>
      </c>
      <c r="X119" s="105"/>
      <c r="Y119" s="105"/>
      <c r="Z119" s="57" t="s">
        <v>84</v>
      </c>
      <c r="AA119" s="57"/>
      <c r="AB119" s="57"/>
      <c r="AC119" s="57"/>
      <c r="AD119" s="57"/>
      <c r="AE119" s="57"/>
      <c r="AF119" s="57"/>
      <c r="AG119" s="57"/>
      <c r="AH119" s="57"/>
      <c r="AI119" s="57"/>
      <c r="AJ119" s="57"/>
      <c r="AK119" s="57"/>
      <c r="AL119" s="57"/>
      <c r="AM119" s="57"/>
      <c r="AN119" s="57"/>
      <c r="AP119" s="8"/>
      <c r="AR119" s="6"/>
      <c r="CF119" s="8"/>
      <c r="DW119" s="1">
        <f t="shared" si="37"/>
        <v>23.2</v>
      </c>
      <c r="DX119" s="12" t="str">
        <f t="shared" si="29"/>
        <v>0.0001-1.16365i</v>
      </c>
      <c r="DY119" s="13" t="str">
        <f t="shared" si="34"/>
        <v>0.000000001</v>
      </c>
      <c r="DZ119" s="13" t="str">
        <f t="shared" si="25"/>
        <v>0.010799+25.052923i</v>
      </c>
      <c r="EA119" s="14" t="str">
        <f t="shared" si="26"/>
        <v>5399336805.55556+0.0001i</v>
      </c>
      <c r="EC119" s="1" t="str">
        <f t="shared" si="35"/>
        <v>0.010799001+25.052923i</v>
      </c>
      <c r="ED119" s="1" t="str">
        <f t="shared" si="27"/>
        <v>58307443.560026+135269169240.649i</v>
      </c>
      <c r="EE119" s="1" t="str">
        <f t="shared" si="28"/>
        <v>5399336805.56636+25.053023i</v>
      </c>
      <c r="EF119" s="1" t="str">
        <f t="shared" si="30"/>
        <v>0.010799+25.052923i</v>
      </c>
      <c r="EG119" s="1" t="str">
        <f t="shared" si="31"/>
        <v>0.010899+23.889273i</v>
      </c>
      <c r="FN119" s="1">
        <f t="shared" si="32"/>
        <v>23.8</v>
      </c>
      <c r="FO119" s="1">
        <f t="shared" si="33"/>
        <v>24.566531417683738</v>
      </c>
    </row>
    <row r="120" spans="2:171" ht="18" customHeight="1" x14ac:dyDescent="0.25">
      <c r="B120" s="6"/>
      <c r="D120" s="98">
        <f t="shared" si="36"/>
        <v>11</v>
      </c>
      <c r="E120" s="99"/>
      <c r="F120" s="99"/>
      <c r="G120" s="99"/>
      <c r="H120" s="100">
        <f t="shared" si="38"/>
        <v>90.000000000000014</v>
      </c>
      <c r="I120" s="101"/>
      <c r="J120" s="101"/>
      <c r="K120" s="101"/>
      <c r="V120" s="35" t="s">
        <v>138</v>
      </c>
      <c r="W120" s="105">
        <f>AJ34</f>
        <v>1.0798673611111114</v>
      </c>
      <c r="X120" s="105"/>
      <c r="Y120" s="105"/>
      <c r="Z120" s="57" t="s">
        <v>44</v>
      </c>
      <c r="AA120" s="57"/>
      <c r="AB120" s="57"/>
      <c r="AC120" s="57"/>
      <c r="AD120" s="57"/>
      <c r="AE120" s="57"/>
      <c r="AF120" s="57"/>
      <c r="AG120" s="57"/>
      <c r="AH120" s="57"/>
      <c r="AI120" s="57"/>
      <c r="AJ120" s="57"/>
      <c r="AK120" s="57"/>
      <c r="AL120" s="57"/>
      <c r="AM120" s="57"/>
      <c r="AN120" s="57"/>
      <c r="AP120" s="8"/>
      <c r="AR120" s="6"/>
      <c r="CF120" s="8"/>
      <c r="DW120" s="1">
        <f t="shared" si="37"/>
        <v>23.4</v>
      </c>
      <c r="DX120" s="12" t="str">
        <f t="shared" si="29"/>
        <v>0.0001-1.153704i</v>
      </c>
      <c r="DY120" s="13" t="str">
        <f t="shared" si="34"/>
        <v>0.000000001</v>
      </c>
      <c r="DZ120" s="13" t="str">
        <f t="shared" si="25"/>
        <v>0.010799+25.268896i</v>
      </c>
      <c r="EA120" s="14" t="str">
        <f t="shared" si="26"/>
        <v>5399336805.55556+0.0001i</v>
      </c>
      <c r="EC120" s="1" t="str">
        <f t="shared" si="35"/>
        <v>0.010799001+25.268896i</v>
      </c>
      <c r="ED120" s="1" t="str">
        <f t="shared" si="27"/>
        <v>58307443.560004+136435280208.556i</v>
      </c>
      <c r="EE120" s="1" t="str">
        <f t="shared" si="28"/>
        <v>5399336805.56636+25.268996i</v>
      </c>
      <c r="EF120" s="1" t="str">
        <f t="shared" si="30"/>
        <v>0.010799+25.268896i</v>
      </c>
      <c r="EG120" s="1" t="str">
        <f t="shared" si="31"/>
        <v>0.010899+24.115192i</v>
      </c>
      <c r="FN120" s="1">
        <f t="shared" si="32"/>
        <v>24</v>
      </c>
      <c r="FO120" s="1">
        <f t="shared" si="33"/>
        <v>24.791957395700447</v>
      </c>
    </row>
    <row r="121" spans="2:171" ht="18" customHeight="1" x14ac:dyDescent="0.25">
      <c r="B121" s="6"/>
      <c r="D121" s="98">
        <f t="shared" si="36"/>
        <v>13</v>
      </c>
      <c r="E121" s="99"/>
      <c r="F121" s="99"/>
      <c r="G121" s="99"/>
      <c r="H121" s="100">
        <f t="shared" si="38"/>
        <v>45.000000000000007</v>
      </c>
      <c r="I121" s="101"/>
      <c r="J121" s="101"/>
      <c r="K121" s="101"/>
      <c r="V121" s="35" t="s">
        <v>139</v>
      </c>
      <c r="W121" s="104" t="s">
        <v>140</v>
      </c>
      <c r="X121" s="104"/>
      <c r="Y121" s="104"/>
      <c r="Z121" s="104"/>
      <c r="AA121" s="104"/>
      <c r="AB121" s="104"/>
      <c r="AC121" s="104"/>
      <c r="AD121" s="104"/>
      <c r="AE121" s="104"/>
      <c r="AF121" s="104"/>
      <c r="AG121" s="104"/>
      <c r="AH121" s="104"/>
      <c r="AI121" s="104"/>
      <c r="AJ121" s="104"/>
      <c r="AK121" s="104"/>
      <c r="AL121" s="104"/>
      <c r="AM121" s="104"/>
      <c r="AN121" s="104"/>
      <c r="AP121" s="8"/>
      <c r="AR121" s="6"/>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8"/>
      <c r="DW121" s="1">
        <f t="shared" si="37"/>
        <v>23.6</v>
      </c>
      <c r="DX121" s="12" t="str">
        <f t="shared" si="29"/>
        <v>0.0001-1.143927i</v>
      </c>
      <c r="DY121" s="13" t="str">
        <f t="shared" si="34"/>
        <v>0.000000001</v>
      </c>
      <c r="DZ121" s="13" t="str">
        <f t="shared" si="25"/>
        <v>0.010799+25.48487i</v>
      </c>
      <c r="EA121" s="14" t="str">
        <f t="shared" si="26"/>
        <v>5399336805.55556+0.0001i</v>
      </c>
      <c r="EC121" s="1" t="str">
        <f t="shared" si="35"/>
        <v>0.010799001+25.48487i</v>
      </c>
      <c r="ED121" s="1" t="str">
        <f t="shared" si="27"/>
        <v>58307443.559983+137601396575.799i</v>
      </c>
      <c r="EE121" s="1" t="str">
        <f t="shared" si="28"/>
        <v>5399336805.56636+25.48497i</v>
      </c>
      <c r="EF121" s="1" t="str">
        <f t="shared" si="30"/>
        <v>0.010799+25.48487i</v>
      </c>
      <c r="EG121" s="1" t="str">
        <f t="shared" si="31"/>
        <v>0.010899+24.340943i</v>
      </c>
      <c r="FN121" s="1">
        <f t="shared" si="32"/>
        <v>24.2</v>
      </c>
      <c r="FO121" s="1">
        <f t="shared" si="33"/>
        <v>25.017227374128133</v>
      </c>
    </row>
    <row r="122" spans="2:171" ht="18" customHeight="1" x14ac:dyDescent="0.25">
      <c r="B122" s="6"/>
      <c r="D122" s="98">
        <f t="shared" si="36"/>
        <v>17</v>
      </c>
      <c r="E122" s="99"/>
      <c r="F122" s="99"/>
      <c r="G122" s="99"/>
      <c r="H122" s="100">
        <f t="shared" si="38"/>
        <v>30</v>
      </c>
      <c r="I122" s="101"/>
      <c r="J122" s="101"/>
      <c r="K122" s="101"/>
      <c r="Q122" s="57"/>
      <c r="V122" s="35" t="s">
        <v>141</v>
      </c>
      <c r="W122" s="104" t="s">
        <v>142</v>
      </c>
      <c r="X122" s="104"/>
      <c r="Y122" s="104"/>
      <c r="AP122" s="8"/>
      <c r="AR122" s="6"/>
      <c r="CF122" s="8"/>
      <c r="DW122" s="1">
        <f t="shared" si="37"/>
        <v>23.8</v>
      </c>
      <c r="DX122" s="12" t="str">
        <f t="shared" si="29"/>
        <v>0.0001-1.134314i</v>
      </c>
      <c r="DY122" s="13" t="str">
        <f t="shared" si="34"/>
        <v>0.000000001</v>
      </c>
      <c r="DZ122" s="13" t="str">
        <f t="shared" si="25"/>
        <v>0.010799+25.700843i</v>
      </c>
      <c r="EA122" s="14" t="str">
        <f t="shared" si="26"/>
        <v>5399336805.55556+0.0001i</v>
      </c>
      <c r="EC122" s="1" t="str">
        <f t="shared" si="35"/>
        <v>0.010799001+25.700843i</v>
      </c>
      <c r="ED122" s="1" t="str">
        <f t="shared" si="27"/>
        <v>58307443.559961+138767507543.705i</v>
      </c>
      <c r="EE122" s="1" t="str">
        <f t="shared" si="28"/>
        <v>5399336805.56636+25.700943i</v>
      </c>
      <c r="EF122" s="1" t="str">
        <f t="shared" si="30"/>
        <v>0.010799+25.700843i</v>
      </c>
      <c r="EG122" s="1" t="str">
        <f t="shared" si="31"/>
        <v>0.010899+24.566529i</v>
      </c>
      <c r="FN122" s="1">
        <f t="shared" si="32"/>
        <v>24.4</v>
      </c>
      <c r="FO122" s="1">
        <f t="shared" si="33"/>
        <v>25.24234535295502</v>
      </c>
    </row>
    <row r="123" spans="2:171" ht="18" customHeight="1" x14ac:dyDescent="0.3">
      <c r="B123" s="6"/>
      <c r="D123" s="98">
        <f t="shared" si="36"/>
        <v>19</v>
      </c>
      <c r="E123" s="99"/>
      <c r="F123" s="99"/>
      <c r="G123" s="99"/>
      <c r="H123" s="100">
        <f t="shared" si="38"/>
        <v>15</v>
      </c>
      <c r="I123" s="101"/>
      <c r="J123" s="101"/>
      <c r="K123" s="101"/>
      <c r="V123" s="35" t="s">
        <v>143</v>
      </c>
      <c r="W123" s="104" t="s">
        <v>144</v>
      </c>
      <c r="X123" s="104"/>
      <c r="Y123" s="104"/>
      <c r="AP123" s="8"/>
      <c r="AR123" s="6"/>
      <c r="AS123" s="30" t="s">
        <v>145</v>
      </c>
      <c r="CF123" s="8"/>
      <c r="DW123" s="1">
        <f t="shared" si="37"/>
        <v>24</v>
      </c>
      <c r="DX123" s="12" t="str">
        <f t="shared" si="29"/>
        <v>0.0001-1.124862i</v>
      </c>
      <c r="DY123" s="13" t="str">
        <f t="shared" si="34"/>
        <v>0.000000001</v>
      </c>
      <c r="DZ123" s="13" t="str">
        <f t="shared" si="25"/>
        <v>0.010799+25.916817i</v>
      </c>
      <c r="EA123" s="14" t="str">
        <f t="shared" si="26"/>
        <v>5399336805.55556+0.0001i</v>
      </c>
      <c r="EC123" s="1" t="str">
        <f t="shared" si="35"/>
        <v>0.010799001+25.916817i</v>
      </c>
      <c r="ED123" s="1" t="str">
        <f t="shared" si="27"/>
        <v>58307443.55994+139933623910.948i</v>
      </c>
      <c r="EE123" s="1" t="str">
        <f t="shared" si="28"/>
        <v>5399336805.56636+25.916917i</v>
      </c>
      <c r="EF123" s="1" t="str">
        <f t="shared" si="30"/>
        <v>0.010799+25.916817i</v>
      </c>
      <c r="EG123" s="1" t="str">
        <f t="shared" si="31"/>
        <v>0.010899+24.791955i</v>
      </c>
      <c r="FN123" s="1">
        <f t="shared" si="32"/>
        <v>24.6</v>
      </c>
      <c r="FO123" s="1">
        <f t="shared" si="33"/>
        <v>25.467313332169965</v>
      </c>
    </row>
    <row r="124" spans="2:171" ht="18" customHeight="1" x14ac:dyDescent="0.25">
      <c r="B124" s="6"/>
      <c r="D124" s="98">
        <f t="shared" si="36"/>
        <v>23</v>
      </c>
      <c r="E124" s="99"/>
      <c r="F124" s="99"/>
      <c r="G124" s="99"/>
      <c r="H124" s="100">
        <f t="shared" si="38"/>
        <v>15</v>
      </c>
      <c r="I124" s="101"/>
      <c r="J124" s="101"/>
      <c r="K124" s="101"/>
      <c r="V124" s="35" t="s">
        <v>146</v>
      </c>
      <c r="W124" s="104" t="s">
        <v>147</v>
      </c>
      <c r="X124" s="104"/>
      <c r="Y124" s="104"/>
      <c r="Z124" s="104"/>
      <c r="AA124" s="104"/>
      <c r="AB124" s="104"/>
      <c r="AC124" s="104"/>
      <c r="AD124" s="104"/>
      <c r="AE124" s="104"/>
      <c r="AP124" s="8"/>
      <c r="AR124" s="6"/>
      <c r="CF124" s="8"/>
      <c r="DW124" s="1">
        <f t="shared" si="37"/>
        <v>24.2</v>
      </c>
      <c r="DX124" s="12" t="str">
        <f t="shared" si="29"/>
        <v>0.0001-1.115565i</v>
      </c>
      <c r="DY124" s="13" t="str">
        <f t="shared" si="34"/>
        <v>0.000000001</v>
      </c>
      <c r="DZ124" s="13" t="str">
        <f t="shared" si="25"/>
        <v>0.010799+26.13279i</v>
      </c>
      <c r="EA124" s="14" t="str">
        <f t="shared" si="26"/>
        <v>5399336805.55556+0.0001i</v>
      </c>
      <c r="EC124" s="1" t="str">
        <f t="shared" si="35"/>
        <v>0.010799001+26.13279i</v>
      </c>
      <c r="ED124" s="1" t="str">
        <f t="shared" si="27"/>
        <v>58307443.559918+141099734878.854i</v>
      </c>
      <c r="EE124" s="1" t="str">
        <f t="shared" si="28"/>
        <v>5399336805.56636+26.13289i</v>
      </c>
      <c r="EF124" s="1" t="str">
        <f t="shared" si="30"/>
        <v>0.010799+26.13279i</v>
      </c>
      <c r="EG124" s="1" t="str">
        <f t="shared" si="31"/>
        <v>0.010899+25.017225i</v>
      </c>
      <c r="FN124" s="1">
        <f t="shared" si="32"/>
        <v>24.8</v>
      </c>
      <c r="FO124" s="1">
        <f t="shared" si="33"/>
        <v>25.692137311761865</v>
      </c>
    </row>
    <row r="125" spans="2:171" ht="18" customHeight="1" x14ac:dyDescent="0.25">
      <c r="B125" s="6"/>
      <c r="D125" s="98">
        <f t="shared" si="36"/>
        <v>25</v>
      </c>
      <c r="E125" s="99"/>
      <c r="F125" s="99"/>
      <c r="G125" s="99"/>
      <c r="H125" s="100">
        <f t="shared" si="38"/>
        <v>15</v>
      </c>
      <c r="I125" s="101"/>
      <c r="J125" s="101"/>
      <c r="K125" s="101"/>
      <c r="V125" s="35" t="s">
        <v>148</v>
      </c>
      <c r="W125" s="104" t="s">
        <v>149</v>
      </c>
      <c r="X125" s="104"/>
      <c r="Y125" s="104"/>
      <c r="Z125" s="104"/>
      <c r="AA125" s="104"/>
      <c r="AB125" s="104"/>
      <c r="AC125" s="104"/>
      <c r="AD125" s="104"/>
      <c r="AE125" s="104"/>
      <c r="AP125" s="8"/>
      <c r="AR125" s="6"/>
      <c r="CF125" s="8"/>
      <c r="DW125" s="1">
        <f t="shared" si="37"/>
        <v>24.4</v>
      </c>
      <c r="DX125" s="12" t="str">
        <f t="shared" si="29"/>
        <v>0.0001-1.106421i</v>
      </c>
      <c r="DY125" s="13" t="str">
        <f t="shared" si="34"/>
        <v>0.000000001</v>
      </c>
      <c r="DZ125" s="13" t="str">
        <f t="shared" si="25"/>
        <v>0.010799+26.348764i</v>
      </c>
      <c r="EA125" s="14" t="str">
        <f t="shared" si="26"/>
        <v>5399336805.55556+0.0001i</v>
      </c>
      <c r="EC125" s="1" t="str">
        <f t="shared" si="35"/>
        <v>0.010799001+26.348764i</v>
      </c>
      <c r="ED125" s="1" t="str">
        <f t="shared" si="27"/>
        <v>58307443.559896+142265851246.097i</v>
      </c>
      <c r="EE125" s="1" t="str">
        <f t="shared" si="28"/>
        <v>5399336805.56636+26.348864i</v>
      </c>
      <c r="EF125" s="1" t="str">
        <f t="shared" si="30"/>
        <v>0.010799+26.348764i</v>
      </c>
      <c r="EG125" s="1" t="str">
        <f t="shared" si="31"/>
        <v>0.010899+25.242343i</v>
      </c>
      <c r="FN125" s="1">
        <f t="shared" si="32"/>
        <v>25</v>
      </c>
      <c r="FO125" s="1">
        <f t="shared" si="33"/>
        <v>25.91681929172039</v>
      </c>
    </row>
    <row r="126" spans="2:171" ht="18" customHeight="1" x14ac:dyDescent="0.25">
      <c r="B126" s="6"/>
      <c r="D126" s="98">
        <f t="shared" si="36"/>
        <v>29</v>
      </c>
      <c r="E126" s="99"/>
      <c r="F126" s="99"/>
      <c r="G126" s="99"/>
      <c r="H126" s="100">
        <f t="shared" si="38"/>
        <v>0</v>
      </c>
      <c r="I126" s="101"/>
      <c r="J126" s="101"/>
      <c r="K126" s="101"/>
      <c r="V126" s="35" t="s">
        <v>150</v>
      </c>
      <c r="W126" s="104" t="s">
        <v>151</v>
      </c>
      <c r="X126" s="104"/>
      <c r="Y126" s="104"/>
      <c r="Z126" s="104"/>
      <c r="AA126" s="104"/>
      <c r="AB126" s="104"/>
      <c r="AC126" s="104"/>
      <c r="AD126" s="104"/>
      <c r="AE126" s="104"/>
      <c r="AP126" s="8"/>
      <c r="AR126" s="6"/>
      <c r="CF126" s="8"/>
      <c r="DW126" s="1">
        <f t="shared" si="37"/>
        <v>24.6</v>
      </c>
      <c r="DX126" s="12" t="str">
        <f t="shared" si="29"/>
        <v>0.0001-1.097426i</v>
      </c>
      <c r="DY126" s="13" t="str">
        <f t="shared" si="34"/>
        <v>0.000000001</v>
      </c>
      <c r="DZ126" s="13" t="str">
        <f t="shared" si="25"/>
        <v>0.010799+26.564737i</v>
      </c>
      <c r="EA126" s="14" t="str">
        <f t="shared" si="26"/>
        <v>5399336805.55556+0.0001i</v>
      </c>
      <c r="EC126" s="1" t="str">
        <f t="shared" si="35"/>
        <v>0.010799001+26.564737i</v>
      </c>
      <c r="ED126" s="1" t="str">
        <f t="shared" si="27"/>
        <v>58307443.559875+143431962214.004i</v>
      </c>
      <c r="EE126" s="1" t="str">
        <f t="shared" si="28"/>
        <v>5399336805.56636+26.564837i</v>
      </c>
      <c r="EF126" s="1" t="str">
        <f t="shared" si="30"/>
        <v>0.010799+26.564737i</v>
      </c>
      <c r="EG126" s="1" t="str">
        <f t="shared" si="31"/>
        <v>0.010899+25.467311i</v>
      </c>
      <c r="FN126" s="1">
        <f t="shared" si="32"/>
        <v>25.2</v>
      </c>
      <c r="FO126" s="1">
        <f t="shared" si="33"/>
        <v>26.141363272035413</v>
      </c>
    </row>
    <row r="127" spans="2:171" ht="18" customHeight="1" x14ac:dyDescent="0.25">
      <c r="B127" s="6"/>
      <c r="D127" s="98">
        <f t="shared" si="36"/>
        <v>31</v>
      </c>
      <c r="E127" s="99"/>
      <c r="F127" s="99"/>
      <c r="G127" s="99"/>
      <c r="H127" s="100">
        <f t="shared" si="38"/>
        <v>0</v>
      </c>
      <c r="I127" s="101"/>
      <c r="J127" s="101"/>
      <c r="K127" s="101"/>
      <c r="V127" s="35" t="s">
        <v>152</v>
      </c>
      <c r="W127" s="104" t="s">
        <v>153</v>
      </c>
      <c r="X127" s="104"/>
      <c r="Y127" s="104"/>
      <c r="Z127" s="104"/>
      <c r="AA127" s="104"/>
      <c r="AB127" s="104"/>
      <c r="AC127" s="104"/>
      <c r="AD127" s="104"/>
      <c r="AE127" s="104"/>
      <c r="AP127" s="8"/>
      <c r="AR127" s="6"/>
      <c r="CF127" s="8"/>
      <c r="DW127" s="1">
        <f t="shared" si="37"/>
        <v>24.8</v>
      </c>
      <c r="DX127" s="12" t="str">
        <f t="shared" si="29"/>
        <v>0.0001-1.088576i</v>
      </c>
      <c r="DY127" s="13" t="str">
        <f t="shared" si="34"/>
        <v>0.000000001</v>
      </c>
      <c r="DZ127" s="13" t="str">
        <f t="shared" si="25"/>
        <v>0.010799+26.780711i</v>
      </c>
      <c r="EA127" s="14" t="str">
        <f t="shared" si="26"/>
        <v>5399336805.55556+0.0001i</v>
      </c>
      <c r="EC127" s="1" t="str">
        <f t="shared" si="35"/>
        <v>0.010799001+26.780711i</v>
      </c>
      <c r="ED127" s="1" t="str">
        <f t="shared" si="27"/>
        <v>58307443.559853+144598078581.247i</v>
      </c>
      <c r="EE127" s="1" t="str">
        <f t="shared" si="28"/>
        <v>5399336805.56636+26.780811i</v>
      </c>
      <c r="EF127" s="1" t="str">
        <f t="shared" si="30"/>
        <v>0.010799+26.780711i</v>
      </c>
      <c r="EG127" s="1" t="str">
        <f t="shared" si="31"/>
        <v>0.010899+25.692135i</v>
      </c>
      <c r="FN127" s="1">
        <f t="shared" si="32"/>
        <v>25.4</v>
      </c>
      <c r="FO127" s="1">
        <f t="shared" si="33"/>
        <v>26.36577125269735</v>
      </c>
    </row>
    <row r="128" spans="2:171" ht="18" customHeight="1" x14ac:dyDescent="0.25">
      <c r="B128" s="6"/>
      <c r="D128" s="98">
        <f t="shared" si="36"/>
        <v>35</v>
      </c>
      <c r="E128" s="99"/>
      <c r="F128" s="99"/>
      <c r="G128" s="99"/>
      <c r="H128" s="100">
        <f t="shared" si="38"/>
        <v>15</v>
      </c>
      <c r="I128" s="101"/>
      <c r="J128" s="101"/>
      <c r="K128" s="101"/>
      <c r="AP128" s="8"/>
      <c r="AR128" s="6"/>
      <c r="CF128" s="8"/>
      <c r="DW128" s="1">
        <f t="shared" si="37"/>
        <v>25</v>
      </c>
      <c r="DX128" s="12" t="str">
        <f t="shared" si="29"/>
        <v>0.0001-1.079867i</v>
      </c>
      <c r="DY128" s="13" t="str">
        <f t="shared" si="34"/>
        <v>0.000000001</v>
      </c>
      <c r="DZ128" s="13" t="str">
        <f t="shared" si="25"/>
        <v>0.010799+26.996684i</v>
      </c>
      <c r="EA128" s="14" t="str">
        <f t="shared" si="26"/>
        <v>5399336805.55556+0.0001i</v>
      </c>
      <c r="EC128" s="1" t="str">
        <f t="shared" si="35"/>
        <v>0.010799001+26.996684i</v>
      </c>
      <c r="ED128" s="1" t="str">
        <f t="shared" si="27"/>
        <v>58307443.559832+145764189549.153i</v>
      </c>
      <c r="EE128" s="1" t="str">
        <f t="shared" si="28"/>
        <v>5399336805.56636+26.996784i</v>
      </c>
      <c r="EF128" s="1" t="str">
        <f t="shared" si="30"/>
        <v>0.010799+26.996684i</v>
      </c>
      <c r="EG128" s="1" t="str">
        <f t="shared" si="31"/>
        <v>0.010899+25.916817i</v>
      </c>
      <c r="FN128" s="1">
        <f t="shared" si="32"/>
        <v>25.6</v>
      </c>
      <c r="FO128" s="1">
        <f t="shared" si="33"/>
        <v>26.590048233696706</v>
      </c>
    </row>
    <row r="129" spans="2:171" ht="18" customHeight="1" x14ac:dyDescent="0.25">
      <c r="B129" s="6"/>
      <c r="D129" s="98">
        <f t="shared" si="36"/>
        <v>37</v>
      </c>
      <c r="E129" s="99"/>
      <c r="F129" s="99"/>
      <c r="G129" s="99"/>
      <c r="H129" s="100">
        <f t="shared" si="38"/>
        <v>15.000000000000004</v>
      </c>
      <c r="I129" s="101"/>
      <c r="J129" s="101"/>
      <c r="K129" s="101"/>
      <c r="AP129" s="8"/>
      <c r="AR129" s="6"/>
      <c r="CF129" s="8"/>
      <c r="DW129" s="1">
        <f t="shared" si="37"/>
        <v>25.2</v>
      </c>
      <c r="DX129" s="12" t="str">
        <f t="shared" si="29"/>
        <v>0.0001-1.071297i</v>
      </c>
      <c r="DY129" s="13" t="str">
        <f t="shared" si="34"/>
        <v>0.000000001</v>
      </c>
      <c r="DZ129" s="13" t="str">
        <f t="shared" si="25"/>
        <v>0.010799+27.212658i</v>
      </c>
      <c r="EA129" s="14" t="str">
        <f t="shared" si="26"/>
        <v>5399336805.55556+0.0001i</v>
      </c>
      <c r="EC129" s="1" t="str">
        <f t="shared" si="35"/>
        <v>0.010799001+27.212658i</v>
      </c>
      <c r="ED129" s="1" t="str">
        <f t="shared" si="27"/>
        <v>58307443.55981+146930305916.396i</v>
      </c>
      <c r="EE129" s="1" t="str">
        <f t="shared" si="28"/>
        <v>5399336805.56636+27.212758i</v>
      </c>
      <c r="EF129" s="1" t="str">
        <f t="shared" si="30"/>
        <v>0.010799+27.212658i</v>
      </c>
      <c r="EG129" s="1" t="str">
        <f t="shared" si="31"/>
        <v>0.010899+26.141361i</v>
      </c>
      <c r="FN129" s="1">
        <f t="shared" si="32"/>
        <v>25.8</v>
      </c>
      <c r="FO129" s="1">
        <f t="shared" si="33"/>
        <v>26.814197215024468</v>
      </c>
    </row>
    <row r="130" spans="2:171" ht="18" customHeight="1" x14ac:dyDescent="0.25">
      <c r="B130" s="6"/>
      <c r="D130" s="102" t="s">
        <v>154</v>
      </c>
      <c r="E130" s="102"/>
      <c r="F130" s="102"/>
      <c r="G130" s="102"/>
      <c r="H130" s="103">
        <f>EK21</f>
        <v>472.32863612859336</v>
      </c>
      <c r="I130" s="103"/>
      <c r="J130" s="103"/>
      <c r="K130" s="103"/>
      <c r="AP130" s="8"/>
      <c r="AR130" s="6"/>
      <c r="CF130" s="8"/>
      <c r="DW130" s="1">
        <f t="shared" si="37"/>
        <v>25.4</v>
      </c>
      <c r="DX130" s="12" t="str">
        <f t="shared" si="29"/>
        <v>0.0001-1.062862i</v>
      </c>
      <c r="DY130" s="13" t="str">
        <f t="shared" si="34"/>
        <v>0.000000001</v>
      </c>
      <c r="DZ130" s="13" t="str">
        <f t="shared" si="25"/>
        <v>0.010799+27.428631i</v>
      </c>
      <c r="EA130" s="14" t="str">
        <f t="shared" si="26"/>
        <v>5399336805.55556+0.0001i</v>
      </c>
      <c r="EC130" s="1" t="str">
        <f t="shared" si="35"/>
        <v>0.010799001+27.428631i</v>
      </c>
      <c r="ED130" s="1" t="str">
        <f t="shared" si="27"/>
        <v>58307443.559788+148096416884.302i</v>
      </c>
      <c r="EE130" s="1" t="str">
        <f t="shared" si="28"/>
        <v>5399336805.56636+27.428731i</v>
      </c>
      <c r="EF130" s="1" t="str">
        <f t="shared" si="30"/>
        <v>0.010799+27.428631i</v>
      </c>
      <c r="EG130" s="1" t="str">
        <f t="shared" si="31"/>
        <v>0.010899+26.365769i</v>
      </c>
      <c r="FN130" s="1">
        <f t="shared" si="32"/>
        <v>26</v>
      </c>
      <c r="FO130" s="1">
        <f t="shared" si="33"/>
        <v>27.038219196672145</v>
      </c>
    </row>
    <row r="131" spans="2:171" ht="18" customHeight="1" x14ac:dyDescent="0.25">
      <c r="B131" s="6"/>
      <c r="C131" s="81" t="s">
        <v>155</v>
      </c>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
      <c r="AR131" s="6"/>
      <c r="CF131" s="8"/>
      <c r="DW131" s="1">
        <f t="shared" si="37"/>
        <v>25.6</v>
      </c>
      <c r="DX131" s="12" t="str">
        <f t="shared" si="29"/>
        <v>0.0001-1.054558i</v>
      </c>
      <c r="DY131" s="13" t="str">
        <f t="shared" si="34"/>
        <v>0.000000001</v>
      </c>
      <c r="DZ131" s="13" t="str">
        <f t="shared" si="25"/>
        <v>0.010799+27.644604i</v>
      </c>
      <c r="EA131" s="14" t="str">
        <f t="shared" si="26"/>
        <v>5399336805.55556+0.0001i</v>
      </c>
      <c r="EC131" s="1" t="str">
        <f t="shared" si="35"/>
        <v>0.010799001+27.644604i</v>
      </c>
      <c r="ED131" s="1" t="str">
        <f t="shared" si="27"/>
        <v>58307443.559767+149262527852.208i</v>
      </c>
      <c r="EE131" s="1" t="str">
        <f t="shared" si="28"/>
        <v>5399336805.56636+27.644704i</v>
      </c>
      <c r="EF131" s="1" t="str">
        <f t="shared" si="30"/>
        <v>0.010799+27.644604i</v>
      </c>
      <c r="EG131" s="1" t="str">
        <f t="shared" si="31"/>
        <v>0.010899+26.590046i</v>
      </c>
      <c r="FN131" s="1">
        <f t="shared" si="32"/>
        <v>26.2</v>
      </c>
      <c r="FO131" s="1">
        <f t="shared" si="33"/>
        <v>27.262119178631181</v>
      </c>
    </row>
    <row r="132" spans="2:171" ht="18" customHeight="1" x14ac:dyDescent="0.25">
      <c r="B132" s="6"/>
      <c r="C132" s="95" t="str">
        <f xml:space="preserve"> "A quantity of " &amp; ROUND(3*S29,0) &amp; ", " &amp; ROUND(AJ28,0) &amp; " kvar, " &amp; W116 &amp; " kV BIL, " &amp; S20 &amp; _xlfn._LONGTEXT(" Hertz, all-film, low-loss, double-bushing capacitors designed, manufactured, and tested to applicable IEEE/ANSI and IEC standards, supplied by Cooper, GE, or Hitachi (no others), are required. The capacitors shall be connected unground-wye and shall have"," applicable over-voltage and blown-fuse protection.")</f>
        <v>A quantity of 15, 735 kvar, 95 kV BIL, 60 Hertz, all-film, low-loss, double-bushing capacitors designed, manufactured, and tested to applicable IEEE/ANSI and IEC standards, supplied by Cooper, GE, or Hitachi (no others), are required. The capacitors shall be connected unground-wye and shall have applicable over-voltage and blown-fuse protection.</v>
      </c>
      <c r="D132" s="95"/>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27"/>
      <c r="AR132" s="6"/>
      <c r="CF132" s="8"/>
      <c r="DW132" s="1">
        <f t="shared" si="37"/>
        <v>25.8</v>
      </c>
      <c r="DX132" s="12" t="str">
        <f t="shared" si="29"/>
        <v>0.0001-1.046383i</v>
      </c>
      <c r="DY132" s="13" t="str">
        <f t="shared" si="34"/>
        <v>0.000000001</v>
      </c>
      <c r="DZ132" s="13" t="str">
        <f t="shared" si="25"/>
        <v>0.010799+27.860578i</v>
      </c>
      <c r="EA132" s="14" t="str">
        <f t="shared" si="26"/>
        <v>5399336805.55556+0.0001i</v>
      </c>
      <c r="EC132" s="1" t="str">
        <f t="shared" si="35"/>
        <v>0.010799001+27.860578i</v>
      </c>
      <c r="ED132" s="1" t="str">
        <f t="shared" si="27"/>
        <v>58307443.559745+150428644219.452i</v>
      </c>
      <c r="EE132" s="1" t="str">
        <f t="shared" si="28"/>
        <v>5399336805.56636+27.860678i</v>
      </c>
      <c r="EF132" s="1" t="str">
        <f t="shared" si="30"/>
        <v>0.010799+27.860578i</v>
      </c>
      <c r="EG132" s="1" t="str">
        <f t="shared" si="31"/>
        <v>0.010899+26.814195i</v>
      </c>
      <c r="FN132" s="1">
        <f t="shared" si="32"/>
        <v>26.4</v>
      </c>
      <c r="FO132" s="1">
        <f t="shared" si="33"/>
        <v>27.485898160893651</v>
      </c>
    </row>
    <row r="133" spans="2:171" ht="18" customHeight="1" x14ac:dyDescent="0.25">
      <c r="B133" s="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8"/>
      <c r="AR133" s="6"/>
      <c r="CF133" s="8"/>
      <c r="DW133" s="1">
        <f t="shared" si="37"/>
        <v>26</v>
      </c>
      <c r="DX133" s="12" t="str">
        <f t="shared" si="29"/>
        <v>0.0001-1.038334i</v>
      </c>
      <c r="DY133" s="13" t="str">
        <f t="shared" si="34"/>
        <v>0.000000001</v>
      </c>
      <c r="DZ133" s="13" t="str">
        <f t="shared" si="25"/>
        <v>0.010799+28.076551i</v>
      </c>
      <c r="EA133" s="14" t="str">
        <f t="shared" si="26"/>
        <v>5399336805.55556+0.0001i</v>
      </c>
      <c r="EC133" s="1" t="str">
        <f t="shared" si="35"/>
        <v>0.010799001+28.076551i</v>
      </c>
      <c r="ED133" s="1" t="str">
        <f t="shared" si="27"/>
        <v>58307443.559724+151594755187.358i</v>
      </c>
      <c r="EE133" s="1" t="str">
        <f t="shared" si="28"/>
        <v>5399336805.56636+28.076651i</v>
      </c>
      <c r="EF133" s="1" t="str">
        <f t="shared" si="30"/>
        <v>0.010799+28.076551i</v>
      </c>
      <c r="EG133" s="1" t="str">
        <f t="shared" si="31"/>
        <v>0.010899+27.038217i</v>
      </c>
      <c r="FN133" s="1">
        <f t="shared" si="32"/>
        <v>26.6</v>
      </c>
      <c r="FO133" s="1">
        <f t="shared" si="33"/>
        <v>27.709561143451584</v>
      </c>
    </row>
    <row r="134" spans="2:171" ht="18" customHeight="1" x14ac:dyDescent="0.25">
      <c r="B134" s="6"/>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8"/>
      <c r="AR134" s="6"/>
      <c r="CF134" s="8"/>
      <c r="DW134" s="1">
        <f t="shared" si="37"/>
        <v>26.2</v>
      </c>
      <c r="DX134" s="12" t="str">
        <f t="shared" si="29"/>
        <v>0.0001-1.030408i</v>
      </c>
      <c r="DY134" s="13" t="str">
        <f t="shared" si="34"/>
        <v>0.000000001</v>
      </c>
      <c r="DZ134" s="13" t="str">
        <f t="shared" ref="DZ134:DZ197" si="39">COMPLEX(IF(ABS($AJ$34/$S$34)&lt;0.0000005,0,ROUND($AJ$34/$S$34,6)),IF(ABS($AJ$34*DW134)&lt;0.0000005,0,ROUND($AJ$34*DW134,6)))</f>
        <v>0.010799+28.292525i</v>
      </c>
      <c r="EA134" s="14" t="str">
        <f t="shared" ref="EA134:EA197" si="40">COMPLEX(ROUND($IJ$37,6),ROUND(0.0001,6))</f>
        <v>5399336805.55556+0.0001i</v>
      </c>
      <c r="EC134" s="1" t="str">
        <f t="shared" si="35"/>
        <v>0.010799001+28.292525i</v>
      </c>
      <c r="ED134" s="1" t="str">
        <f t="shared" ref="ED134:ED197" si="41">COMPLEX(ROUND(IMREAL(IMPRODUCT(EC134,EA134)),6),ROUND(IMAGINARY(IMPRODUCT(EC134,EA134)),6))</f>
        <v>58307443.559702+152760871554.601i</v>
      </c>
      <c r="EE134" s="1" t="str">
        <f t="shared" ref="EE134:EE197" si="42">COMPLEX(ROUND(IMREAL(IMSUM(EA134,EC134)),6),ROUND(IMAGINARY(IMSUM(EA134,EC134)),6))</f>
        <v>5399336805.56636+28.292625i</v>
      </c>
      <c r="EF134" s="1" t="str">
        <f t="shared" si="30"/>
        <v>0.010799+28.292525i</v>
      </c>
      <c r="EG134" s="1" t="str">
        <f t="shared" si="31"/>
        <v>0.010899+27.262117i</v>
      </c>
      <c r="FN134" s="1">
        <f t="shared" si="32"/>
        <v>26.8</v>
      </c>
      <c r="FO134" s="1">
        <f t="shared" si="33"/>
        <v>27.933108126297672</v>
      </c>
    </row>
    <row r="135" spans="2:171" ht="18" customHeight="1" x14ac:dyDescent="0.25">
      <c r="B135" s="6"/>
      <c r="C135" s="96"/>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6"/>
      <c r="AM135" s="96"/>
      <c r="AN135" s="96"/>
      <c r="AO135" s="96"/>
      <c r="AP135" s="8"/>
      <c r="AR135" s="6"/>
      <c r="CF135" s="8"/>
      <c r="DW135" s="1">
        <f t="shared" si="37"/>
        <v>26.4</v>
      </c>
      <c r="DX135" s="12" t="str">
        <f t="shared" ref="DX135:DX198" si="43">COMPLEX(ROUND(0.0001,6),ROUND(-$AJ$30/DW135,6))</f>
        <v>0.0001-1.022602i</v>
      </c>
      <c r="DY135" s="13" t="str">
        <f t="shared" si="34"/>
        <v>0.000000001</v>
      </c>
      <c r="DZ135" s="13" t="str">
        <f t="shared" si="39"/>
        <v>0.010799+28.508498i</v>
      </c>
      <c r="EA135" s="14" t="str">
        <f t="shared" si="40"/>
        <v>5399336805.55556+0.0001i</v>
      </c>
      <c r="EC135" s="1" t="str">
        <f t="shared" si="35"/>
        <v>0.010799001+28.508498i</v>
      </c>
      <c r="ED135" s="1" t="str">
        <f t="shared" si="41"/>
        <v>58307443.55968+153926982522.507i</v>
      </c>
      <c r="EE135" s="1" t="str">
        <f t="shared" si="42"/>
        <v>5399336805.56636+28.508598i</v>
      </c>
      <c r="EF135" s="1" t="str">
        <f t="shared" ref="EF135:EF198" si="44">COMPLEX(ROUND(IMREAL(IMDIV(ED135,EE135)),6),ROUND(IMAGINARY(IMDIV(ED135,EE135)),6))</f>
        <v>0.010799+28.508498i</v>
      </c>
      <c r="EG135" s="1" t="str">
        <f t="shared" ref="EG135:EG198" si="45">COMPLEX(ROUND(IMREAL(IMSUM(EF135,DX135)),6),ROUND(IMAGINARY(IMSUM(EF135,DX135)),6))</f>
        <v>0.010899+27.485896i</v>
      </c>
      <c r="FN135" s="1">
        <f t="shared" si="32"/>
        <v>27</v>
      </c>
      <c r="FO135" s="1">
        <f t="shared" si="33"/>
        <v>28.156544109424459</v>
      </c>
    </row>
    <row r="136" spans="2:171" ht="18" customHeight="1" x14ac:dyDescent="0.25">
      <c r="B136" s="6"/>
      <c r="C136" s="81" t="s">
        <v>156</v>
      </c>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81"/>
      <c r="AI136" s="81"/>
      <c r="AJ136" s="81"/>
      <c r="AK136" s="81"/>
      <c r="AL136" s="81"/>
      <c r="AM136" s="81"/>
      <c r="AN136" s="81"/>
      <c r="AO136" s="81"/>
      <c r="AP136" s="8"/>
      <c r="AR136" s="6"/>
      <c r="CF136" s="8"/>
      <c r="DW136" s="1">
        <f t="shared" si="37"/>
        <v>26.6</v>
      </c>
      <c r="DX136" s="12" t="str">
        <f t="shared" si="43"/>
        <v>0.0001-1.014913i</v>
      </c>
      <c r="DY136" s="13" t="str">
        <f t="shared" si="34"/>
        <v>0.000000001</v>
      </c>
      <c r="DZ136" s="13" t="str">
        <f t="shared" si="39"/>
        <v>0.010799+28.724472i</v>
      </c>
      <c r="EA136" s="14" t="str">
        <f t="shared" si="40"/>
        <v>5399336805.55556+0.0001i</v>
      </c>
      <c r="EC136" s="1" t="str">
        <f t="shared" si="35"/>
        <v>0.010799001+28.724472i</v>
      </c>
      <c r="ED136" s="1" t="str">
        <f t="shared" si="41"/>
        <v>58307443.559659+155093098889.75i</v>
      </c>
      <c r="EE136" s="1" t="str">
        <f t="shared" si="42"/>
        <v>5399336805.56636+28.724572i</v>
      </c>
      <c r="EF136" s="1" t="str">
        <f t="shared" si="44"/>
        <v>0.010799+28.724472i</v>
      </c>
      <c r="EG136" s="1" t="str">
        <f t="shared" si="45"/>
        <v>0.010899+27.709559i</v>
      </c>
      <c r="FN136" s="1">
        <f t="shared" si="32"/>
        <v>27.2</v>
      </c>
      <c r="FO136" s="1">
        <f t="shared" si="33"/>
        <v>28.379869092825114</v>
      </c>
    </row>
    <row r="137" spans="2:171" ht="18" customHeight="1" x14ac:dyDescent="0.25">
      <c r="B137" s="6"/>
      <c r="C137" s="95" t="s">
        <v>157</v>
      </c>
      <c r="D137" s="95"/>
      <c r="E137" s="95"/>
      <c r="F137" s="95"/>
      <c r="G137" s="95"/>
      <c r="H137" s="95"/>
      <c r="I137" s="95"/>
      <c r="J137" s="95"/>
      <c r="K137" s="95"/>
      <c r="L137" s="95"/>
      <c r="M137" s="95"/>
      <c r="N137" s="95"/>
      <c r="O137" s="95"/>
      <c r="P137" s="95"/>
      <c r="Q137" s="95"/>
      <c r="R137" s="95"/>
      <c r="S137" s="95"/>
      <c r="T137" s="95"/>
      <c r="U137" s="95"/>
      <c r="V137" s="95"/>
      <c r="W137" s="95"/>
      <c r="X137" s="95"/>
      <c r="Y137" s="95"/>
      <c r="Z137" s="95"/>
      <c r="AA137" s="95"/>
      <c r="AB137" s="95"/>
      <c r="AC137" s="95"/>
      <c r="AD137" s="95"/>
      <c r="AE137" s="95"/>
      <c r="AF137" s="95"/>
      <c r="AG137" s="95"/>
      <c r="AH137" s="95"/>
      <c r="AI137" s="95"/>
      <c r="AJ137" s="95"/>
      <c r="AK137" s="95"/>
      <c r="AL137" s="95"/>
      <c r="AM137" s="95"/>
      <c r="AN137" s="95"/>
      <c r="AO137" s="95"/>
      <c r="AP137" s="8"/>
      <c r="AR137" s="6"/>
      <c r="CF137" s="8"/>
      <c r="DW137" s="1">
        <f t="shared" si="37"/>
        <v>26.8</v>
      </c>
      <c r="DX137" s="12" t="str">
        <f t="shared" si="43"/>
        <v>0.0001-1.007339i</v>
      </c>
      <c r="DY137" s="13" t="str">
        <f t="shared" si="34"/>
        <v>0.000000001</v>
      </c>
      <c r="DZ137" s="13" t="str">
        <f t="shared" si="39"/>
        <v>0.010799+28.940445i</v>
      </c>
      <c r="EA137" s="14" t="str">
        <f t="shared" si="40"/>
        <v>5399336805.55556+0.0001i</v>
      </c>
      <c r="EC137" s="1" t="str">
        <f t="shared" si="35"/>
        <v>0.010799001+28.940445i</v>
      </c>
      <c r="ED137" s="1" t="str">
        <f t="shared" si="41"/>
        <v>58307443.559637+156259209857.656i</v>
      </c>
      <c r="EE137" s="1" t="str">
        <f t="shared" si="42"/>
        <v>5399336805.56636+28.940545i</v>
      </c>
      <c r="EF137" s="1" t="str">
        <f t="shared" si="44"/>
        <v>0.010799+28.940445i</v>
      </c>
      <c r="EG137" s="1" t="str">
        <f t="shared" si="45"/>
        <v>0.010899+27.933106i</v>
      </c>
      <c r="FN137" s="1">
        <f t="shared" si="32"/>
        <v>27.4</v>
      </c>
      <c r="FO137" s="1">
        <f t="shared" si="33"/>
        <v>28.603088076492671</v>
      </c>
    </row>
    <row r="138" spans="2:171" ht="18" customHeight="1" x14ac:dyDescent="0.25">
      <c r="B138" s="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6"/>
      <c r="AM138" s="96"/>
      <c r="AN138" s="96"/>
      <c r="AO138" s="96"/>
      <c r="AP138" s="8"/>
      <c r="AR138" s="6"/>
      <c r="CF138" s="8"/>
      <c r="DW138" s="1">
        <f t="shared" si="37"/>
        <v>27</v>
      </c>
      <c r="DX138" s="12" t="str">
        <f t="shared" si="43"/>
        <v>0.0001-0.999877i</v>
      </c>
      <c r="DY138" s="13" t="str">
        <f t="shared" si="34"/>
        <v>0.000000001</v>
      </c>
      <c r="DZ138" s="13" t="str">
        <f t="shared" si="39"/>
        <v>0.010799+29.156419i</v>
      </c>
      <c r="EA138" s="14" t="str">
        <f t="shared" si="40"/>
        <v>5399336805.55556+0.0001i</v>
      </c>
      <c r="EC138" s="1" t="str">
        <f t="shared" si="35"/>
        <v>0.010799001+29.156419i</v>
      </c>
      <c r="ED138" s="1" t="str">
        <f t="shared" si="41"/>
        <v>58307443.559616+157425326224.899i</v>
      </c>
      <c r="EE138" s="1" t="str">
        <f t="shared" si="42"/>
        <v>5399336805.56636+29.156519i</v>
      </c>
      <c r="EF138" s="1" t="str">
        <f t="shared" si="44"/>
        <v>0.010799+29.156419i</v>
      </c>
      <c r="EG138" s="1" t="str">
        <f t="shared" si="45"/>
        <v>0.010899+28.156542i</v>
      </c>
      <c r="FN138" s="1">
        <f t="shared" si="32"/>
        <v>27.6</v>
      </c>
      <c r="FO138" s="1">
        <f t="shared" si="33"/>
        <v>28.826200060420817</v>
      </c>
    </row>
    <row r="139" spans="2:171" ht="18" customHeight="1" x14ac:dyDescent="0.25">
      <c r="B139" s="6"/>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8"/>
      <c r="AR139" s="6"/>
      <c r="CF139" s="8"/>
      <c r="DW139" s="1">
        <f t="shared" si="37"/>
        <v>27.2</v>
      </c>
      <c r="DX139" s="12" t="str">
        <f t="shared" si="43"/>
        <v>0.0001-0.992525i</v>
      </c>
      <c r="DY139" s="13" t="str">
        <f t="shared" si="34"/>
        <v>0.000000001</v>
      </c>
      <c r="DZ139" s="13" t="str">
        <f t="shared" si="39"/>
        <v>0.010799+29.372392i</v>
      </c>
      <c r="EA139" s="14" t="str">
        <f t="shared" si="40"/>
        <v>5399336805.55556+0.0001i</v>
      </c>
      <c r="EC139" s="1" t="str">
        <f t="shared" si="35"/>
        <v>0.010799001+29.372392i</v>
      </c>
      <c r="ED139" s="1" t="str">
        <f t="shared" si="41"/>
        <v>58307443.559594+158591437192.806i</v>
      </c>
      <c r="EE139" s="1" t="str">
        <f t="shared" si="42"/>
        <v>5399336805.56636+29.372492i</v>
      </c>
      <c r="EF139" s="1" t="str">
        <f t="shared" si="44"/>
        <v>0.010799+29.372392i</v>
      </c>
      <c r="EG139" s="1" t="str">
        <f t="shared" si="45"/>
        <v>0.010899+28.379867i</v>
      </c>
      <c r="FN139" s="1">
        <f t="shared" si="32"/>
        <v>27.8</v>
      </c>
      <c r="FO139" s="1">
        <f t="shared" si="33"/>
        <v>29.049211044602952</v>
      </c>
    </row>
    <row r="140" spans="2:171" ht="18" customHeight="1" x14ac:dyDescent="0.25">
      <c r="B140" s="6"/>
      <c r="C140" s="96"/>
      <c r="D140" s="96"/>
      <c r="E140" s="96"/>
      <c r="F140" s="96"/>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6"/>
      <c r="AM140" s="96"/>
      <c r="AN140" s="96"/>
      <c r="AO140" s="96"/>
      <c r="AP140" s="8"/>
      <c r="AR140" s="6"/>
      <c r="CF140" s="8"/>
      <c r="DW140" s="1">
        <f t="shared" si="37"/>
        <v>27.4</v>
      </c>
      <c r="DX140" s="12" t="str">
        <f t="shared" si="43"/>
        <v>0.0001-0.98528i</v>
      </c>
      <c r="DY140" s="13" t="str">
        <f t="shared" si="34"/>
        <v>0.000000001</v>
      </c>
      <c r="DZ140" s="13" t="str">
        <f t="shared" si="39"/>
        <v>0.010799+29.588366i</v>
      </c>
      <c r="EA140" s="14" t="str">
        <f t="shared" si="40"/>
        <v>5399336805.55556+0.0001i</v>
      </c>
      <c r="EC140" s="1" t="str">
        <f t="shared" si="35"/>
        <v>0.010799001+29.588366i</v>
      </c>
      <c r="ED140" s="1" t="str">
        <f t="shared" si="41"/>
        <v>58307443.559573+159757553560.049i</v>
      </c>
      <c r="EE140" s="1" t="str">
        <f t="shared" si="42"/>
        <v>5399336805.56636+29.588466i</v>
      </c>
      <c r="EF140" s="1" t="str">
        <f t="shared" si="44"/>
        <v>0.010799+29.588366i</v>
      </c>
      <c r="EG140" s="1" t="str">
        <f t="shared" si="45"/>
        <v>0.010899+28.603086i</v>
      </c>
      <c r="FN140" s="1">
        <f t="shared" si="32"/>
        <v>28</v>
      </c>
      <c r="FO140" s="1">
        <f t="shared" si="33"/>
        <v>29.272121029033105</v>
      </c>
    </row>
    <row r="141" spans="2:171" ht="18" customHeight="1" x14ac:dyDescent="0.25">
      <c r="B141" s="6"/>
      <c r="C141" s="96"/>
      <c r="D141" s="96"/>
      <c r="E141" s="96"/>
      <c r="F141" s="96"/>
      <c r="G141" s="96"/>
      <c r="H141" s="96"/>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6"/>
      <c r="AL141" s="96"/>
      <c r="AM141" s="96"/>
      <c r="AN141" s="96"/>
      <c r="AO141" s="96"/>
      <c r="AP141" s="8"/>
      <c r="AR141" s="6"/>
      <c r="CF141" s="8"/>
      <c r="DW141" s="1">
        <f t="shared" si="37"/>
        <v>27.6</v>
      </c>
      <c r="DX141" s="12" t="str">
        <f t="shared" si="43"/>
        <v>0.0001-0.978141i</v>
      </c>
      <c r="DY141" s="13" t="str">
        <f t="shared" si="34"/>
        <v>0.000000001</v>
      </c>
      <c r="DZ141" s="13" t="str">
        <f t="shared" si="39"/>
        <v>0.010799+29.804339i</v>
      </c>
      <c r="EA141" s="14" t="str">
        <f t="shared" si="40"/>
        <v>5399336805.55556+0.0001i</v>
      </c>
      <c r="EC141" s="1" t="str">
        <f t="shared" si="35"/>
        <v>0.010799001+29.804339i</v>
      </c>
      <c r="ED141" s="1" t="str">
        <f t="shared" si="41"/>
        <v>58307443.559551+160923664527.955i</v>
      </c>
      <c r="EE141" s="1" t="str">
        <f t="shared" si="42"/>
        <v>5399336805.56636+29.804439i</v>
      </c>
      <c r="EF141" s="1" t="str">
        <f t="shared" si="44"/>
        <v>0.010799+29.804339i</v>
      </c>
      <c r="EG141" s="1" t="str">
        <f t="shared" si="45"/>
        <v>0.010899+28.826198i</v>
      </c>
      <c r="FN141" s="1">
        <f t="shared" si="32"/>
        <v>28.2</v>
      </c>
      <c r="FO141" s="1">
        <f t="shared" si="33"/>
        <v>29.494933013705289</v>
      </c>
    </row>
    <row r="142" spans="2:171" ht="18" customHeight="1" x14ac:dyDescent="0.25">
      <c r="B142" s="6"/>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8"/>
      <c r="AR142" s="6"/>
      <c r="CF142" s="8"/>
      <c r="DW142" s="1">
        <f t="shared" si="37"/>
        <v>27.8</v>
      </c>
      <c r="DX142" s="12" t="str">
        <f t="shared" si="43"/>
        <v>0.0001-0.971104i</v>
      </c>
      <c r="DY142" s="13" t="str">
        <f t="shared" si="34"/>
        <v>0.000000001</v>
      </c>
      <c r="DZ142" s="13" t="str">
        <f t="shared" si="39"/>
        <v>0.010799+30.020313i</v>
      </c>
      <c r="EA142" s="14" t="str">
        <f t="shared" si="40"/>
        <v>5399336805.55556+0.0001i</v>
      </c>
      <c r="EC142" s="1" t="str">
        <f t="shared" si="35"/>
        <v>0.010799001+30.020313i</v>
      </c>
      <c r="ED142" s="1" t="str">
        <f t="shared" si="41"/>
        <v>58307443.559529+162089780895.198i</v>
      </c>
      <c r="EE142" s="1" t="str">
        <f t="shared" si="42"/>
        <v>5399336805.56636+30.020413i</v>
      </c>
      <c r="EF142" s="1" t="str">
        <f t="shared" si="44"/>
        <v>0.010799+30.020313i</v>
      </c>
      <c r="EG142" s="1" t="str">
        <f t="shared" si="45"/>
        <v>0.010899+29.049209i</v>
      </c>
      <c r="FN142" s="1">
        <f t="shared" si="32"/>
        <v>28.4</v>
      </c>
      <c r="FO142" s="1">
        <f t="shared" si="33"/>
        <v>29.717647998613831</v>
      </c>
    </row>
    <row r="143" spans="2:171" ht="18" customHeight="1" x14ac:dyDescent="0.25">
      <c r="B143" s="6"/>
      <c r="C143" s="96"/>
      <c r="D143" s="96"/>
      <c r="E143" s="96"/>
      <c r="F143" s="96"/>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6"/>
      <c r="AL143" s="96"/>
      <c r="AM143" s="96"/>
      <c r="AN143" s="96"/>
      <c r="AO143" s="96"/>
      <c r="AP143" s="8"/>
      <c r="AR143" s="6"/>
      <c r="CF143" s="8"/>
      <c r="DW143" s="1">
        <f t="shared" si="37"/>
        <v>28</v>
      </c>
      <c r="DX143" s="12" t="str">
        <f t="shared" si="43"/>
        <v>0.0001-0.964167i</v>
      </c>
      <c r="DY143" s="13" t="str">
        <f t="shared" si="34"/>
        <v>0.000000001</v>
      </c>
      <c r="DZ143" s="13" t="str">
        <f t="shared" si="39"/>
        <v>0.010799+30.236286i</v>
      </c>
      <c r="EA143" s="14" t="str">
        <f t="shared" si="40"/>
        <v>5399336805.55556+0.0001i</v>
      </c>
      <c r="EC143" s="1" t="str">
        <f t="shared" si="35"/>
        <v>0.010799001+30.236286i</v>
      </c>
      <c r="ED143" s="1" t="str">
        <f t="shared" si="41"/>
        <v>58307443.559508+163255891863.104i</v>
      </c>
      <c r="EE143" s="1" t="str">
        <f t="shared" si="42"/>
        <v>5399336805.56636+30.236386i</v>
      </c>
      <c r="EF143" s="1" t="str">
        <f t="shared" si="44"/>
        <v>0.010799+30.236286i</v>
      </c>
      <c r="EG143" s="1" t="str">
        <f t="shared" si="45"/>
        <v>0.010899+29.272119i</v>
      </c>
      <c r="FN143" s="1">
        <f t="shared" si="32"/>
        <v>28.6</v>
      </c>
      <c r="FO143" s="1">
        <f t="shared" si="33"/>
        <v>29.940268983753136</v>
      </c>
    </row>
    <row r="144" spans="2:171" ht="18" customHeight="1" x14ac:dyDescent="0.25">
      <c r="B144" s="6"/>
      <c r="C144" s="96"/>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8"/>
      <c r="AR144" s="6"/>
      <c r="CF144" s="8"/>
      <c r="DW144" s="1">
        <f t="shared" si="37"/>
        <v>28.2</v>
      </c>
      <c r="DX144" s="12" t="str">
        <f t="shared" si="43"/>
        <v>0.0001-0.957329i</v>
      </c>
      <c r="DY144" s="13" t="str">
        <f t="shared" si="34"/>
        <v>0.000000001</v>
      </c>
      <c r="DZ144" s="13" t="str">
        <f t="shared" si="39"/>
        <v>0.010799+30.45226i</v>
      </c>
      <c r="EA144" s="14" t="str">
        <f t="shared" si="40"/>
        <v>5399336805.55556+0.0001i</v>
      </c>
      <c r="EC144" s="1" t="str">
        <f t="shared" si="35"/>
        <v>0.010799001+30.45226i</v>
      </c>
      <c r="ED144" s="1" t="str">
        <f t="shared" si="41"/>
        <v>58307443.559486+164422008230.347i</v>
      </c>
      <c r="EE144" s="1" t="str">
        <f t="shared" si="42"/>
        <v>5399336805.56636+30.45236i</v>
      </c>
      <c r="EF144" s="1" t="str">
        <f t="shared" si="44"/>
        <v>0.010799+30.45226i</v>
      </c>
      <c r="EG144" s="1" t="str">
        <f t="shared" si="45"/>
        <v>0.010899+29.494931i</v>
      </c>
      <c r="FN144" s="1">
        <f t="shared" si="32"/>
        <v>28.8</v>
      </c>
      <c r="FO144" s="1">
        <f t="shared" si="33"/>
        <v>30.162796969117863</v>
      </c>
    </row>
    <row r="145" spans="2:171" ht="18" customHeight="1" thickBot="1" x14ac:dyDescent="0.3">
      <c r="B145" s="6"/>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8"/>
      <c r="AR145" s="6"/>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1"/>
      <c r="CE145" s="10"/>
      <c r="CF145" s="8"/>
      <c r="DW145" s="1">
        <f t="shared" si="37"/>
        <v>28.4</v>
      </c>
      <c r="DX145" s="12" t="str">
        <f t="shared" si="43"/>
        <v>0.0001-0.950587i</v>
      </c>
      <c r="DY145" s="13" t="str">
        <f t="shared" si="34"/>
        <v>0.000000001</v>
      </c>
      <c r="DZ145" s="13" t="str">
        <f t="shared" si="39"/>
        <v>0.010799+30.668233i</v>
      </c>
      <c r="EA145" s="14" t="str">
        <f t="shared" si="40"/>
        <v>5399336805.55556+0.0001i</v>
      </c>
      <c r="EC145" s="1" t="str">
        <f t="shared" si="35"/>
        <v>0.010799001+30.668233i</v>
      </c>
      <c r="ED145" s="1" t="str">
        <f t="shared" si="41"/>
        <v>58307443.559465+165588119198.254i</v>
      </c>
      <c r="EE145" s="1" t="str">
        <f t="shared" si="42"/>
        <v>5399336805.56636+30.668333i</v>
      </c>
      <c r="EF145" s="1" t="str">
        <f t="shared" si="44"/>
        <v>0.010799+30.668233i</v>
      </c>
      <c r="EG145" s="1" t="str">
        <f t="shared" si="45"/>
        <v>0.010899+29.717646i</v>
      </c>
      <c r="FN145" s="1">
        <f t="shared" si="32"/>
        <v>29</v>
      </c>
      <c r="FO145" s="1">
        <f t="shared" si="33"/>
        <v>30.385234954702749</v>
      </c>
    </row>
    <row r="146" spans="2:171" ht="18" customHeight="1" x14ac:dyDescent="0.25">
      <c r="B146" s="6"/>
      <c r="D146" s="44" t="s">
        <v>94</v>
      </c>
      <c r="AO146" s="29" t="s">
        <v>158</v>
      </c>
      <c r="AP146" s="8"/>
      <c r="AR146" s="6"/>
      <c r="AT146" s="44" t="s">
        <v>94</v>
      </c>
      <c r="CE146" s="29" t="s">
        <v>159</v>
      </c>
      <c r="CF146" s="8"/>
      <c r="DW146" s="1">
        <f t="shared" si="37"/>
        <v>28.6</v>
      </c>
      <c r="DX146" s="12" t="str">
        <f t="shared" si="43"/>
        <v>0.0001-0.94394i</v>
      </c>
      <c r="DY146" s="13" t="str">
        <f t="shared" si="34"/>
        <v>0.000000001</v>
      </c>
      <c r="DZ146" s="13" t="str">
        <f t="shared" si="39"/>
        <v>0.010799+30.884207i</v>
      </c>
      <c r="EA146" s="14" t="str">
        <f t="shared" si="40"/>
        <v>5399336805.55556+0.0001i</v>
      </c>
      <c r="EC146" s="1" t="str">
        <f t="shared" si="35"/>
        <v>0.010799001+30.884207i</v>
      </c>
      <c r="ED146" s="1" t="str">
        <f t="shared" si="41"/>
        <v>58307443.559443+166754235565.497i</v>
      </c>
      <c r="EE146" s="1" t="str">
        <f t="shared" si="42"/>
        <v>5399336805.56636+30.884307i</v>
      </c>
      <c r="EF146" s="1" t="str">
        <f t="shared" si="44"/>
        <v>0.010799+30.884207i</v>
      </c>
      <c r="EG146" s="1" t="str">
        <f t="shared" si="45"/>
        <v>0.010899+29.940267i</v>
      </c>
      <c r="FN146" s="1">
        <f t="shared" si="32"/>
        <v>29.2</v>
      </c>
      <c r="FO146" s="1">
        <f t="shared" si="33"/>
        <v>30.607584940502736</v>
      </c>
    </row>
    <row r="147" spans="2:171" ht="18" customHeight="1" x14ac:dyDescent="0.25">
      <c r="B147" s="46"/>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8"/>
      <c r="AR147" s="46"/>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8"/>
      <c r="DW147" s="1">
        <f t="shared" si="37"/>
        <v>28.8</v>
      </c>
      <c r="DX147" s="12" t="str">
        <f t="shared" si="43"/>
        <v>0.0001-0.937385i</v>
      </c>
      <c r="DY147" s="13" t="str">
        <f t="shared" si="34"/>
        <v>0.000000001</v>
      </c>
      <c r="DZ147" s="13" t="str">
        <f t="shared" si="39"/>
        <v>0.010799+31.10018i</v>
      </c>
      <c r="EA147" s="14" t="str">
        <f t="shared" si="40"/>
        <v>5399336805.55556+0.0001i</v>
      </c>
      <c r="EC147" s="1" t="str">
        <f t="shared" si="35"/>
        <v>0.010799001+31.10018i</v>
      </c>
      <c r="ED147" s="1" t="str">
        <f t="shared" si="41"/>
        <v>58307443.559421+167920346533.403i</v>
      </c>
      <c r="EE147" s="1" t="str">
        <f t="shared" si="42"/>
        <v>5399336805.56636+31.10028i</v>
      </c>
      <c r="EF147" s="1" t="str">
        <f t="shared" si="44"/>
        <v>0.010799+31.10018i</v>
      </c>
      <c r="EG147" s="1" t="str">
        <f t="shared" si="45"/>
        <v>0.010899+30.162795i</v>
      </c>
      <c r="FN147" s="1">
        <f t="shared" si="32"/>
        <v>29.4</v>
      </c>
      <c r="FO147" s="1">
        <f t="shared" si="33"/>
        <v>30.829846926513046</v>
      </c>
    </row>
    <row r="148" spans="2:171" ht="18" customHeight="1" x14ac:dyDescent="0.25">
      <c r="DW148" s="1">
        <f t="shared" si="37"/>
        <v>29</v>
      </c>
      <c r="DX148" s="12" t="str">
        <f t="shared" si="43"/>
        <v>0.0001-0.93092i</v>
      </c>
      <c r="DY148" s="13" t="str">
        <f t="shared" si="34"/>
        <v>0.000000001</v>
      </c>
      <c r="DZ148" s="13" t="str">
        <f t="shared" si="39"/>
        <v>0.010799+31.316153i</v>
      </c>
      <c r="EA148" s="14" t="str">
        <f t="shared" si="40"/>
        <v>5399336805.55556+0.0001i</v>
      </c>
      <c r="EC148" s="1" t="str">
        <f t="shared" si="35"/>
        <v>0.010799001+31.316153i</v>
      </c>
      <c r="ED148" s="1" t="str">
        <f t="shared" si="41"/>
        <v>58307443.5594+169086457501.309i</v>
      </c>
      <c r="EE148" s="1" t="str">
        <f t="shared" si="42"/>
        <v>5399336805.56636+31.316253i</v>
      </c>
      <c r="EF148" s="1" t="str">
        <f t="shared" si="44"/>
        <v>0.010799+31.316153i</v>
      </c>
      <c r="EG148" s="1" t="str">
        <f t="shared" si="45"/>
        <v>0.010899+30.385233i</v>
      </c>
      <c r="FN148" s="1">
        <f t="shared" si="32"/>
        <v>29.6</v>
      </c>
      <c r="FO148" s="1">
        <f t="shared" si="33"/>
        <v>31.052025912728737</v>
      </c>
    </row>
    <row r="149" spans="2:171" ht="18" customHeight="1" x14ac:dyDescent="0.25">
      <c r="B149" s="3"/>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5"/>
      <c r="AR149" s="3"/>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5"/>
      <c r="DW149" s="1">
        <f t="shared" si="37"/>
        <v>29.2</v>
      </c>
      <c r="DX149" s="12" t="str">
        <f t="shared" si="43"/>
        <v>0.0001-0.924544i</v>
      </c>
      <c r="DY149" s="13" t="str">
        <f t="shared" si="34"/>
        <v>0.000000001</v>
      </c>
      <c r="DZ149" s="13" t="str">
        <f t="shared" si="39"/>
        <v>0.010799+31.532127i</v>
      </c>
      <c r="EA149" s="14" t="str">
        <f t="shared" si="40"/>
        <v>5399336805.55556+0.0001i</v>
      </c>
      <c r="EC149" s="1" t="str">
        <f t="shared" si="35"/>
        <v>0.010799001+31.532127i</v>
      </c>
      <c r="ED149" s="1" t="str">
        <f t="shared" si="41"/>
        <v>58307443.559378+170252573868.552i</v>
      </c>
      <c r="EE149" s="1" t="str">
        <f t="shared" si="42"/>
        <v>5399336805.56636+31.532227i</v>
      </c>
      <c r="EF149" s="1" t="str">
        <f t="shared" si="44"/>
        <v>0.010799+31.532127i</v>
      </c>
      <c r="EG149" s="1" t="str">
        <f t="shared" si="45"/>
        <v>0.010899+30.607583i</v>
      </c>
      <c r="FN149" s="1">
        <f t="shared" si="32"/>
        <v>29.8</v>
      </c>
      <c r="FO149" s="1">
        <f t="shared" si="33"/>
        <v>31.274119899145447</v>
      </c>
    </row>
    <row r="150" spans="2:171" ht="18" customHeight="1" x14ac:dyDescent="0.25">
      <c r="B150" s="6"/>
      <c r="AN150" s="7"/>
      <c r="AP150" s="8"/>
      <c r="AR150" s="6"/>
      <c r="CD150" s="7"/>
      <c r="CF150" s="8"/>
      <c r="DW150" s="1">
        <f t="shared" si="37"/>
        <v>29.4</v>
      </c>
      <c r="DX150" s="12" t="str">
        <f t="shared" si="43"/>
        <v>0.0001-0.918255i</v>
      </c>
      <c r="DY150" s="13" t="str">
        <f t="shared" si="34"/>
        <v>0.000000001</v>
      </c>
      <c r="DZ150" s="13" t="str">
        <f t="shared" si="39"/>
        <v>0.010799+31.7481i</v>
      </c>
      <c r="EA150" s="14" t="str">
        <f t="shared" si="40"/>
        <v>5399336805.55556+0.0001i</v>
      </c>
      <c r="EC150" s="1" t="str">
        <f t="shared" si="35"/>
        <v>0.010799001+31.7481i</v>
      </c>
      <c r="ED150" s="1" t="str">
        <f t="shared" si="41"/>
        <v>58307443.559357+171418684836.458i</v>
      </c>
      <c r="EE150" s="1" t="str">
        <f t="shared" si="42"/>
        <v>5399336805.56636+31.7482i</v>
      </c>
      <c r="EF150" s="1" t="str">
        <f t="shared" si="44"/>
        <v>0.010799+31.7481i</v>
      </c>
      <c r="EG150" s="1" t="str">
        <f t="shared" si="45"/>
        <v>0.010899+30.829845i</v>
      </c>
      <c r="FN150" s="1">
        <f t="shared" si="32"/>
        <v>30</v>
      </c>
      <c r="FO150" s="1">
        <f t="shared" si="33"/>
        <v>31.4961338857585</v>
      </c>
    </row>
    <row r="151" spans="2:171" ht="18" customHeight="1" x14ac:dyDescent="0.25">
      <c r="B151" s="6"/>
      <c r="AN151" s="9"/>
      <c r="AP151" s="8"/>
      <c r="AR151" s="6"/>
      <c r="CD151" s="9"/>
      <c r="CF151" s="8"/>
      <c r="DW151" s="1">
        <f t="shared" si="37"/>
        <v>29.6</v>
      </c>
      <c r="DX151" s="12" t="str">
        <f t="shared" si="43"/>
        <v>0.0001-0.91205i</v>
      </c>
      <c r="DY151" s="13" t="str">
        <f t="shared" si="34"/>
        <v>0.000000001</v>
      </c>
      <c r="DZ151" s="13" t="str">
        <f t="shared" si="39"/>
        <v>0.010799+31.964074i</v>
      </c>
      <c r="EA151" s="14" t="str">
        <f t="shared" si="40"/>
        <v>5399336805.55556+0.0001i</v>
      </c>
      <c r="EC151" s="1" t="str">
        <f t="shared" si="35"/>
        <v>0.010799001+31.964074i</v>
      </c>
      <c r="ED151" s="1" t="str">
        <f t="shared" si="41"/>
        <v>58307443.559335+172584801203.702i</v>
      </c>
      <c r="EE151" s="1" t="str">
        <f t="shared" si="42"/>
        <v>5399336805.56636+31.964174i</v>
      </c>
      <c r="EF151" s="1" t="str">
        <f t="shared" si="44"/>
        <v>0.010799+31.964074i</v>
      </c>
      <c r="EG151" s="1" t="str">
        <f t="shared" si="45"/>
        <v>0.010899+31.052024i</v>
      </c>
      <c r="FN151" s="1">
        <f t="shared" si="32"/>
        <v>30.2</v>
      </c>
      <c r="FO151" s="1">
        <f t="shared" si="33"/>
        <v>31.718065872563809</v>
      </c>
    </row>
    <row r="152" spans="2:171" ht="18" customHeight="1" thickBot="1" x14ac:dyDescent="0.3">
      <c r="B152" s="6"/>
      <c r="C152" s="10" t="str">
        <f>H12 &amp; " | " &amp; AE13</f>
        <v>Enter Customer PO #  | Stage 1</v>
      </c>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1"/>
      <c r="AO152" s="10"/>
      <c r="AP152" s="8"/>
      <c r="AR152" s="6"/>
      <c r="AS152" s="10" t="str">
        <f>H12 &amp; " | " &amp; AE13</f>
        <v>Enter Customer PO #  | Stage 1</v>
      </c>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1"/>
      <c r="CE152" s="10"/>
      <c r="CF152" s="8"/>
      <c r="DW152" s="1">
        <f t="shared" si="37"/>
        <v>29.8</v>
      </c>
      <c r="DX152" s="12" t="str">
        <f t="shared" si="43"/>
        <v>0.0001-0.905929i</v>
      </c>
      <c r="DY152" s="13" t="str">
        <f t="shared" si="34"/>
        <v>0.000000001</v>
      </c>
      <c r="DZ152" s="13" t="str">
        <f t="shared" si="39"/>
        <v>0.010799+32.180047i</v>
      </c>
      <c r="EA152" s="14" t="str">
        <f t="shared" si="40"/>
        <v>5399336805.55556+0.0001i</v>
      </c>
      <c r="EC152" s="1" t="str">
        <f t="shared" si="35"/>
        <v>0.010799001+32.180047i</v>
      </c>
      <c r="ED152" s="1" t="str">
        <f t="shared" si="41"/>
        <v>58307443.559313+173750912171.608i</v>
      </c>
      <c r="EE152" s="1" t="str">
        <f t="shared" si="42"/>
        <v>5399336805.56636+32.180147i</v>
      </c>
      <c r="EF152" s="1" t="str">
        <f t="shared" si="44"/>
        <v>0.010799+32.180047i</v>
      </c>
      <c r="EG152" s="1" t="str">
        <f t="shared" si="45"/>
        <v>0.010899+31.274118i</v>
      </c>
      <c r="FN152" s="1">
        <f t="shared" si="32"/>
        <v>30.4</v>
      </c>
      <c r="FO152" s="1">
        <f t="shared" si="33"/>
        <v>31.93992085955696</v>
      </c>
    </row>
    <row r="153" spans="2:171" ht="18" customHeight="1" x14ac:dyDescent="0.25">
      <c r="B153" s="6"/>
      <c r="AN153" s="9"/>
      <c r="AP153" s="8"/>
      <c r="AR153" s="6"/>
      <c r="CD153" s="9"/>
      <c r="CF153" s="8"/>
      <c r="DW153" s="1">
        <f t="shared" si="37"/>
        <v>30</v>
      </c>
      <c r="DX153" s="12" t="str">
        <f t="shared" si="43"/>
        <v>0.0001-0.899889i</v>
      </c>
      <c r="DY153" s="13" t="str">
        <f t="shared" si="34"/>
        <v>0.000000001</v>
      </c>
      <c r="DZ153" s="13" t="str">
        <f t="shared" si="39"/>
        <v>0.010799+32.396021i</v>
      </c>
      <c r="EA153" s="14" t="str">
        <f t="shared" si="40"/>
        <v>5399336805.55556+0.0001i</v>
      </c>
      <c r="EC153" s="1" t="str">
        <f t="shared" si="35"/>
        <v>0.010799001+32.396021i</v>
      </c>
      <c r="ED153" s="1" t="str">
        <f t="shared" si="41"/>
        <v>58307443.559292+174917028538.851i</v>
      </c>
      <c r="EE153" s="1" t="str">
        <f t="shared" si="42"/>
        <v>5399336805.56636+32.396121i</v>
      </c>
      <c r="EF153" s="1" t="str">
        <f t="shared" si="44"/>
        <v>0.010799+32.396021i</v>
      </c>
      <c r="EG153" s="1" t="str">
        <f t="shared" si="45"/>
        <v>0.010899+31.496132i</v>
      </c>
      <c r="FN153" s="1">
        <f t="shared" si="32"/>
        <v>30.6</v>
      </c>
      <c r="FO153" s="1">
        <f t="shared" si="33"/>
        <v>32.161697846734043</v>
      </c>
    </row>
    <row r="154" spans="2:171" ht="18" customHeight="1" x14ac:dyDescent="0.3">
      <c r="B154" s="6"/>
      <c r="AO154" s="17"/>
      <c r="AP154" s="8"/>
      <c r="AR154" s="6"/>
      <c r="AS154" s="97" t="s">
        <v>160</v>
      </c>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8"/>
      <c r="DW154" s="1">
        <f t="shared" si="37"/>
        <v>30.2</v>
      </c>
      <c r="DX154" s="12" t="str">
        <f t="shared" si="43"/>
        <v>0.0001-0.89393i</v>
      </c>
      <c r="DY154" s="13" t="str">
        <f t="shared" si="34"/>
        <v>0.000000001</v>
      </c>
      <c r="DZ154" s="13" t="str">
        <f t="shared" si="39"/>
        <v>0.010799+32.611994i</v>
      </c>
      <c r="EA154" s="14" t="str">
        <f t="shared" si="40"/>
        <v>5399336805.55556+0.0001i</v>
      </c>
      <c r="EC154" s="1" t="str">
        <f t="shared" si="35"/>
        <v>0.010799001+32.611994i</v>
      </c>
      <c r="ED154" s="1" t="str">
        <f t="shared" si="41"/>
        <v>58307443.55927+176083139506.757i</v>
      </c>
      <c r="EE154" s="1" t="str">
        <f t="shared" si="42"/>
        <v>5399336805.56636+32.612094i</v>
      </c>
      <c r="EF154" s="1" t="str">
        <f t="shared" si="44"/>
        <v>0.010799+32.611994i</v>
      </c>
      <c r="EG154" s="1" t="str">
        <f t="shared" si="45"/>
        <v>0.010899+31.718064i</v>
      </c>
      <c r="FN154" s="1">
        <f t="shared" si="32"/>
        <v>30.8</v>
      </c>
      <c r="FO154" s="1">
        <f t="shared" si="33"/>
        <v>32.383400834090942</v>
      </c>
    </row>
    <row r="155" spans="2:171" ht="18" customHeight="1" x14ac:dyDescent="0.25">
      <c r="B155" s="6"/>
      <c r="AP155" s="8"/>
      <c r="AR155" s="6"/>
      <c r="AU155" s="89" t="s">
        <v>161</v>
      </c>
      <c r="AV155" s="89"/>
      <c r="AW155" s="89"/>
      <c r="AX155" s="89"/>
      <c r="AY155" s="89"/>
      <c r="AZ155" s="89"/>
      <c r="BA155" s="89"/>
      <c r="BB155" s="24" t="s">
        <v>162</v>
      </c>
      <c r="CF155" s="8"/>
      <c r="DW155" s="1">
        <f t="shared" si="37"/>
        <v>30.4</v>
      </c>
      <c r="DX155" s="12" t="str">
        <f t="shared" si="43"/>
        <v>0.0001-0.888049i</v>
      </c>
      <c r="DY155" s="13" t="str">
        <f t="shared" si="34"/>
        <v>0.000000001</v>
      </c>
      <c r="DZ155" s="13" t="str">
        <f t="shared" si="39"/>
        <v>0.010799+32.827968i</v>
      </c>
      <c r="EA155" s="14" t="str">
        <f t="shared" si="40"/>
        <v>5399336805.55556+0.0001i</v>
      </c>
      <c r="EC155" s="1" t="str">
        <f t="shared" si="35"/>
        <v>0.010799001+32.827968i</v>
      </c>
      <c r="ED155" s="1" t="str">
        <f t="shared" si="41"/>
        <v>58307443.559249+177249255874i</v>
      </c>
      <c r="EE155" s="1" t="str">
        <f t="shared" si="42"/>
        <v>5399336805.56636+32.828068i</v>
      </c>
      <c r="EF155" s="1" t="str">
        <f t="shared" si="44"/>
        <v>0.010799+32.827968i</v>
      </c>
      <c r="EG155" s="1" t="str">
        <f t="shared" si="45"/>
        <v>0.010899+31.939919i</v>
      </c>
      <c r="FN155" s="1">
        <f t="shared" si="32"/>
        <v>31</v>
      </c>
      <c r="FO155" s="1">
        <f t="shared" si="33"/>
        <v>32.605028821623968</v>
      </c>
    </row>
    <row r="156" spans="2:171" ht="18" customHeight="1" x14ac:dyDescent="0.25">
      <c r="B156" s="6"/>
      <c r="AP156" s="8"/>
      <c r="AR156" s="6"/>
      <c r="AT156" s="24"/>
      <c r="AU156" s="89" t="s">
        <v>163</v>
      </c>
      <c r="AV156" s="89"/>
      <c r="AW156" s="89"/>
      <c r="AX156" s="89"/>
      <c r="AY156" s="89"/>
      <c r="AZ156" s="89"/>
      <c r="BA156" s="89"/>
      <c r="BB156" s="24" t="s">
        <v>164</v>
      </c>
      <c r="CF156" s="8"/>
      <c r="DW156" s="1">
        <f t="shared" si="37"/>
        <v>30.6</v>
      </c>
      <c r="DX156" s="12" t="str">
        <f t="shared" si="43"/>
        <v>0.0001-0.882245i</v>
      </c>
      <c r="DY156" s="13" t="str">
        <f t="shared" si="34"/>
        <v>0.000000001</v>
      </c>
      <c r="DZ156" s="13" t="str">
        <f t="shared" si="39"/>
        <v>0.010799+33.043941i</v>
      </c>
      <c r="EA156" s="14" t="str">
        <f t="shared" si="40"/>
        <v>5399336805.55556+0.0001i</v>
      </c>
      <c r="EC156" s="1" t="str">
        <f t="shared" si="35"/>
        <v>0.010799001+33.043941i</v>
      </c>
      <c r="ED156" s="1" t="str">
        <f t="shared" si="41"/>
        <v>58307443.559227+178415366841.906i</v>
      </c>
      <c r="EE156" s="1" t="str">
        <f t="shared" si="42"/>
        <v>5399336805.56636+33.044041i</v>
      </c>
      <c r="EF156" s="1" t="str">
        <f t="shared" si="44"/>
        <v>0.010799+33.043941i</v>
      </c>
      <c r="EG156" s="1" t="str">
        <f t="shared" si="45"/>
        <v>0.010899+32.161696i</v>
      </c>
      <c r="FN156" s="1">
        <f t="shared" si="32"/>
        <v>31.2</v>
      </c>
      <c r="FO156" s="1">
        <f t="shared" si="33"/>
        <v>32.826585809329252</v>
      </c>
    </row>
    <row r="157" spans="2:171" ht="18" customHeight="1" x14ac:dyDescent="0.25">
      <c r="B157" s="6"/>
      <c r="AP157" s="8"/>
      <c r="AR157" s="6"/>
      <c r="AT157" s="24"/>
      <c r="AU157" s="89" t="s">
        <v>165</v>
      </c>
      <c r="AV157" s="89"/>
      <c r="AW157" s="89"/>
      <c r="AX157" s="89"/>
      <c r="AY157" s="89"/>
      <c r="AZ157" s="89"/>
      <c r="BA157" s="89"/>
      <c r="BB157" s="24" t="s">
        <v>166</v>
      </c>
      <c r="CF157" s="8"/>
      <c r="DW157" s="1">
        <f t="shared" si="37"/>
        <v>30.8</v>
      </c>
      <c r="DX157" s="12" t="str">
        <f t="shared" si="43"/>
        <v>0.0001-0.876516i</v>
      </c>
      <c r="DY157" s="13" t="str">
        <f t="shared" si="34"/>
        <v>0.000000001</v>
      </c>
      <c r="DZ157" s="13" t="str">
        <f t="shared" si="39"/>
        <v>0.010799+33.259915i</v>
      </c>
      <c r="EA157" s="14" t="str">
        <f t="shared" si="40"/>
        <v>5399336805.55556+0.0001i</v>
      </c>
      <c r="EC157" s="1" t="str">
        <f t="shared" si="35"/>
        <v>0.010799001+33.259915i</v>
      </c>
      <c r="ED157" s="1" t="str">
        <f t="shared" si="41"/>
        <v>58307443.559205+179581483209.149i</v>
      </c>
      <c r="EE157" s="1" t="str">
        <f t="shared" si="42"/>
        <v>5399336805.56636+33.260015i</v>
      </c>
      <c r="EF157" s="1" t="str">
        <f t="shared" si="44"/>
        <v>0.010799+33.259915i</v>
      </c>
      <c r="EG157" s="1" t="str">
        <f t="shared" si="45"/>
        <v>0.010899+32.383399i</v>
      </c>
      <c r="FN157" s="1">
        <f t="shared" si="32"/>
        <v>31.4</v>
      </c>
      <c r="FO157" s="1">
        <f t="shared" si="33"/>
        <v>33.048069797203361</v>
      </c>
    </row>
    <row r="158" spans="2:171" ht="18" customHeight="1" x14ac:dyDescent="0.25">
      <c r="B158" s="6"/>
      <c r="AP158" s="8"/>
      <c r="AR158" s="6"/>
      <c r="AT158" s="24"/>
      <c r="AU158" s="89" t="s">
        <v>167</v>
      </c>
      <c r="AV158" s="89"/>
      <c r="AW158" s="89"/>
      <c r="AX158" s="89"/>
      <c r="AY158" s="89"/>
      <c r="AZ158" s="89"/>
      <c r="BA158" s="89"/>
      <c r="BB158" s="24" t="s">
        <v>168</v>
      </c>
      <c r="CF158" s="8"/>
      <c r="DW158" s="1">
        <f t="shared" si="37"/>
        <v>31</v>
      </c>
      <c r="DX158" s="12" t="str">
        <f t="shared" si="43"/>
        <v>0.0001-0.870861i</v>
      </c>
      <c r="DY158" s="13" t="str">
        <f t="shared" si="34"/>
        <v>0.000000001</v>
      </c>
      <c r="DZ158" s="13" t="str">
        <f t="shared" si="39"/>
        <v>0.010799+33.475888i</v>
      </c>
      <c r="EA158" s="14" t="str">
        <f t="shared" si="40"/>
        <v>5399336805.55556+0.0001i</v>
      </c>
      <c r="EC158" s="1" t="str">
        <f t="shared" si="35"/>
        <v>0.010799001+33.475888i</v>
      </c>
      <c r="ED158" s="1" t="str">
        <f t="shared" si="41"/>
        <v>58307443.559184+180747594177.056i</v>
      </c>
      <c r="EE158" s="1" t="str">
        <f t="shared" si="42"/>
        <v>5399336805.56636+33.475988i</v>
      </c>
      <c r="EF158" s="1" t="str">
        <f t="shared" si="44"/>
        <v>0.010799+33.475888i</v>
      </c>
      <c r="EG158" s="1" t="str">
        <f t="shared" si="45"/>
        <v>0.010899+32.605027i</v>
      </c>
      <c r="FN158" s="1">
        <f t="shared" si="32"/>
        <v>31.6</v>
      </c>
      <c r="FO158" s="1">
        <f t="shared" si="33"/>
        <v>33.269485785242566</v>
      </c>
    </row>
    <row r="159" spans="2:171" ht="18" customHeight="1" x14ac:dyDescent="0.25">
      <c r="B159" s="6"/>
      <c r="AP159" s="8"/>
      <c r="AR159" s="6"/>
      <c r="AT159" s="24"/>
      <c r="AU159" s="89" t="s">
        <v>75</v>
      </c>
      <c r="AV159" s="89"/>
      <c r="AW159" s="89"/>
      <c r="AX159" s="89"/>
      <c r="AY159" s="89"/>
      <c r="AZ159" s="89"/>
      <c r="BA159" s="89"/>
      <c r="BB159" s="24" t="s">
        <v>169</v>
      </c>
      <c r="CF159" s="8"/>
      <c r="DW159" s="1">
        <f t="shared" si="37"/>
        <v>31.2</v>
      </c>
      <c r="DX159" s="12" t="str">
        <f t="shared" si="43"/>
        <v>0.0001-0.865278i</v>
      </c>
      <c r="DY159" s="13" t="str">
        <f t="shared" si="34"/>
        <v>0.000000001</v>
      </c>
      <c r="DZ159" s="13" t="str">
        <f t="shared" si="39"/>
        <v>0.010799+33.691862i</v>
      </c>
      <c r="EA159" s="14" t="str">
        <f t="shared" si="40"/>
        <v>5399336805.55556+0.0001i</v>
      </c>
      <c r="EC159" s="1" t="str">
        <f t="shared" si="35"/>
        <v>0.010799001+33.691862i</v>
      </c>
      <c r="ED159" s="1" t="str">
        <f t="shared" si="41"/>
        <v>58307443.559162+181913710544.299i</v>
      </c>
      <c r="EE159" s="1" t="str">
        <f t="shared" si="42"/>
        <v>5399336805.56636+33.691962i</v>
      </c>
      <c r="EF159" s="1" t="str">
        <f t="shared" si="44"/>
        <v>0.010799+33.691862i</v>
      </c>
      <c r="EG159" s="1" t="str">
        <f t="shared" si="45"/>
        <v>0.010899+32.826584i</v>
      </c>
      <c r="FN159" s="1">
        <f t="shared" si="32"/>
        <v>31.8</v>
      </c>
      <c r="FO159" s="1">
        <f t="shared" si="33"/>
        <v>33.490831773443624</v>
      </c>
    </row>
    <row r="160" spans="2:171" ht="18" customHeight="1" x14ac:dyDescent="0.25">
      <c r="B160" s="6"/>
      <c r="AP160" s="8"/>
      <c r="AR160" s="6"/>
      <c r="AT160" s="24"/>
      <c r="AU160" s="89" t="s">
        <v>170</v>
      </c>
      <c r="AV160" s="89"/>
      <c r="AW160" s="89"/>
      <c r="AX160" s="89"/>
      <c r="AY160" s="89"/>
      <c r="AZ160" s="89"/>
      <c r="BA160" s="89"/>
      <c r="BB160" s="24" t="s">
        <v>171</v>
      </c>
      <c r="CF160" s="8"/>
      <c r="DW160" s="1">
        <f t="shared" si="37"/>
        <v>31.4</v>
      </c>
      <c r="DX160" s="12" t="str">
        <f t="shared" si="43"/>
        <v>0.0001-0.859767i</v>
      </c>
      <c r="DY160" s="13" t="str">
        <f t="shared" si="34"/>
        <v>0.000000001</v>
      </c>
      <c r="DZ160" s="13" t="str">
        <f t="shared" si="39"/>
        <v>0.010799+33.907835i</v>
      </c>
      <c r="EA160" s="14" t="str">
        <f t="shared" si="40"/>
        <v>5399336805.55556+0.0001i</v>
      </c>
      <c r="EC160" s="1" t="str">
        <f t="shared" si="35"/>
        <v>0.010799001+33.907835i</v>
      </c>
      <c r="ED160" s="1" t="str">
        <f t="shared" si="41"/>
        <v>58307443.559141+183079821512.205i</v>
      </c>
      <c r="EE160" s="1" t="str">
        <f t="shared" si="42"/>
        <v>5399336805.56636+33.907935i</v>
      </c>
      <c r="EF160" s="1" t="str">
        <f t="shared" si="44"/>
        <v>0.010799+33.907835i</v>
      </c>
      <c r="EG160" s="1" t="str">
        <f t="shared" si="45"/>
        <v>0.010899+33.048068i</v>
      </c>
      <c r="FN160" s="1">
        <f t="shared" si="32"/>
        <v>32</v>
      </c>
      <c r="FO160" s="1">
        <f t="shared" si="33"/>
        <v>33.712111761803072</v>
      </c>
    </row>
    <row r="161" spans="2:171" ht="18" customHeight="1" x14ac:dyDescent="0.25">
      <c r="B161" s="6"/>
      <c r="AP161" s="8"/>
      <c r="AR161" s="6"/>
      <c r="AT161" s="24"/>
      <c r="AU161" s="89" t="s">
        <v>172</v>
      </c>
      <c r="AV161" s="89"/>
      <c r="AW161" s="89"/>
      <c r="AX161" s="89"/>
      <c r="AY161" s="89"/>
      <c r="AZ161" s="89"/>
      <c r="BA161" s="89"/>
      <c r="BB161" s="24" t="s">
        <v>173</v>
      </c>
      <c r="CF161" s="8"/>
      <c r="DW161" s="1">
        <f t="shared" si="37"/>
        <v>31.6</v>
      </c>
      <c r="DX161" s="12" t="str">
        <f t="shared" si="43"/>
        <v>0.0001-0.854325i</v>
      </c>
      <c r="DY161" s="13" t="str">
        <f t="shared" si="34"/>
        <v>0.000000001</v>
      </c>
      <c r="DZ161" s="13" t="str">
        <f t="shared" si="39"/>
        <v>0.010799+34.123809i</v>
      </c>
      <c r="EA161" s="14" t="str">
        <f t="shared" si="40"/>
        <v>5399336805.55556+0.0001i</v>
      </c>
      <c r="EC161" s="1" t="str">
        <f t="shared" si="35"/>
        <v>0.010799001+34.123809i</v>
      </c>
      <c r="ED161" s="1" t="str">
        <f t="shared" si="41"/>
        <v>58307443.559119+184245937879.448i</v>
      </c>
      <c r="EE161" s="1" t="str">
        <f t="shared" si="42"/>
        <v>5399336805.56636+34.123909i</v>
      </c>
      <c r="EF161" s="1" t="str">
        <f t="shared" si="44"/>
        <v>0.010799+34.123809i</v>
      </c>
      <c r="EG161" s="1" t="str">
        <f t="shared" si="45"/>
        <v>0.010899+33.269484i</v>
      </c>
      <c r="FN161" s="1">
        <f t="shared" si="32"/>
        <v>32.200000000000003</v>
      </c>
      <c r="FO161" s="1">
        <f t="shared" si="33"/>
        <v>33.933324750317794</v>
      </c>
    </row>
    <row r="162" spans="2:171" ht="18" customHeight="1" x14ac:dyDescent="0.25">
      <c r="B162" s="6"/>
      <c r="AP162" s="8"/>
      <c r="AR162" s="6"/>
      <c r="AT162" s="24"/>
      <c r="AU162" s="89" t="s">
        <v>174</v>
      </c>
      <c r="AV162" s="89"/>
      <c r="AW162" s="89"/>
      <c r="AX162" s="89"/>
      <c r="AY162" s="89"/>
      <c r="AZ162" s="89"/>
      <c r="BA162" s="89"/>
      <c r="BB162" s="24" t="s">
        <v>175</v>
      </c>
      <c r="CF162" s="8"/>
      <c r="DW162" s="1">
        <f t="shared" si="37"/>
        <v>31.8</v>
      </c>
      <c r="DX162" s="12" t="str">
        <f t="shared" si="43"/>
        <v>0.0001-0.848952i</v>
      </c>
      <c r="DY162" s="13" t="str">
        <f t="shared" si="34"/>
        <v>0.000000001</v>
      </c>
      <c r="DZ162" s="13" t="str">
        <f t="shared" si="39"/>
        <v>0.010799+34.339782i</v>
      </c>
      <c r="EA162" s="14" t="str">
        <f t="shared" si="40"/>
        <v>5399336805.55556+0.0001i</v>
      </c>
      <c r="EC162" s="1" t="str">
        <f t="shared" si="35"/>
        <v>0.010799001+34.339782i</v>
      </c>
      <c r="ED162" s="1" t="str">
        <f t="shared" si="41"/>
        <v>58307443.559097+185412048847.354i</v>
      </c>
      <c r="EE162" s="1" t="str">
        <f t="shared" si="42"/>
        <v>5399336805.56636+34.339882i</v>
      </c>
      <c r="EF162" s="1" t="str">
        <f t="shared" si="44"/>
        <v>0.010799+34.339782i</v>
      </c>
      <c r="EG162" s="1" t="str">
        <f t="shared" si="45"/>
        <v>0.010899+33.49083i</v>
      </c>
      <c r="FN162" s="1">
        <f t="shared" si="32"/>
        <v>32.4</v>
      </c>
      <c r="FO162" s="1">
        <f t="shared" si="33"/>
        <v>34.154473738984549</v>
      </c>
    </row>
    <row r="163" spans="2:171" ht="18" customHeight="1" x14ac:dyDescent="0.25">
      <c r="B163" s="6"/>
      <c r="AP163" s="8"/>
      <c r="AR163" s="6"/>
      <c r="AT163" s="24"/>
      <c r="AU163" s="89" t="s">
        <v>176</v>
      </c>
      <c r="AV163" s="89"/>
      <c r="AW163" s="89"/>
      <c r="AX163" s="89"/>
      <c r="AY163" s="89"/>
      <c r="AZ163" s="89"/>
      <c r="BA163" s="89"/>
      <c r="BB163" s="24" t="s">
        <v>177</v>
      </c>
      <c r="CF163" s="8"/>
      <c r="DW163" s="1">
        <f t="shared" si="37"/>
        <v>32</v>
      </c>
      <c r="DX163" s="12" t="str">
        <f t="shared" si="43"/>
        <v>0.0001-0.843646i</v>
      </c>
      <c r="DY163" s="13" t="str">
        <f t="shared" si="34"/>
        <v>0.000000001</v>
      </c>
      <c r="DZ163" s="13" t="str">
        <f t="shared" si="39"/>
        <v>0.010799+34.555756i</v>
      </c>
      <c r="EA163" s="14" t="str">
        <f t="shared" si="40"/>
        <v>5399336805.55556+0.0001i</v>
      </c>
      <c r="EC163" s="1" t="str">
        <f t="shared" si="35"/>
        <v>0.010799001+34.555756i</v>
      </c>
      <c r="ED163" s="1" t="str">
        <f t="shared" si="41"/>
        <v>58307443.559076+186578165214.597i</v>
      </c>
      <c r="EE163" s="1" t="str">
        <f t="shared" si="42"/>
        <v>5399336805.56636+34.555856i</v>
      </c>
      <c r="EF163" s="1" t="str">
        <f t="shared" si="44"/>
        <v>0.010799+34.555756i</v>
      </c>
      <c r="EG163" s="1" t="str">
        <f t="shared" si="45"/>
        <v>0.010899+33.71211i</v>
      </c>
      <c r="FN163" s="1">
        <f t="shared" si="32"/>
        <v>32.6</v>
      </c>
      <c r="FO163" s="1">
        <f t="shared" si="33"/>
        <v>34.375558727800339</v>
      </c>
    </row>
    <row r="164" spans="2:171" ht="18" customHeight="1" x14ac:dyDescent="0.25">
      <c r="B164" s="6"/>
      <c r="AP164" s="8"/>
      <c r="AR164" s="6"/>
      <c r="AT164" s="24"/>
      <c r="AU164" s="89" t="s">
        <v>178</v>
      </c>
      <c r="AV164" s="89"/>
      <c r="AW164" s="89"/>
      <c r="AX164" s="89"/>
      <c r="AY164" s="89"/>
      <c r="AZ164" s="89"/>
      <c r="BA164" s="89"/>
      <c r="BB164" s="24" t="s">
        <v>353</v>
      </c>
      <c r="CF164" s="8"/>
      <c r="DW164" s="1">
        <f t="shared" si="37"/>
        <v>32.200000000000003</v>
      </c>
      <c r="DX164" s="12" t="str">
        <f t="shared" si="43"/>
        <v>0.0001-0.838406i</v>
      </c>
      <c r="DY164" s="13" t="str">
        <f t="shared" si="34"/>
        <v>0.000000001</v>
      </c>
      <c r="DZ164" s="13" t="str">
        <f t="shared" si="39"/>
        <v>0.010799+34.771729i</v>
      </c>
      <c r="EA164" s="14" t="str">
        <f t="shared" si="40"/>
        <v>5399336805.55556+0.0001i</v>
      </c>
      <c r="EC164" s="1" t="str">
        <f t="shared" si="35"/>
        <v>0.010799001+34.771729i</v>
      </c>
      <c r="ED164" s="1" t="str">
        <f t="shared" si="41"/>
        <v>58307443.559054+187744276182.504i</v>
      </c>
      <c r="EE164" s="1" t="str">
        <f t="shared" si="42"/>
        <v>5399336805.56636+34.771829i</v>
      </c>
      <c r="EF164" s="1" t="str">
        <f t="shared" si="44"/>
        <v>0.010799+34.771729i</v>
      </c>
      <c r="EG164" s="1" t="str">
        <f t="shared" si="45"/>
        <v>0.010899+33.933323i</v>
      </c>
      <c r="FN164" s="1">
        <f t="shared" si="32"/>
        <v>32.799999999999997</v>
      </c>
      <c r="FO164" s="1">
        <f t="shared" si="33"/>
        <v>34.596580716762197</v>
      </c>
    </row>
    <row r="165" spans="2:171" ht="18" customHeight="1" x14ac:dyDescent="0.25">
      <c r="B165" s="6"/>
      <c r="AP165" s="8"/>
      <c r="AR165" s="6"/>
      <c r="AT165" s="24"/>
      <c r="AU165" s="89" t="s">
        <v>179</v>
      </c>
      <c r="AV165" s="89"/>
      <c r="AW165" s="89"/>
      <c r="AX165" s="89"/>
      <c r="AY165" s="89"/>
      <c r="AZ165" s="89"/>
      <c r="BA165" s="89"/>
      <c r="BB165" s="24" t="s">
        <v>180</v>
      </c>
      <c r="CF165" s="8"/>
      <c r="DW165" s="1">
        <f t="shared" si="37"/>
        <v>32.4</v>
      </c>
      <c r="DX165" s="12" t="str">
        <f t="shared" si="43"/>
        <v>0.0001-0.833231i</v>
      </c>
      <c r="DY165" s="13" t="str">
        <f t="shared" si="34"/>
        <v>0.000000001</v>
      </c>
      <c r="DZ165" s="13" t="str">
        <f t="shared" si="39"/>
        <v>0.010799+34.987703i</v>
      </c>
      <c r="EA165" s="14" t="str">
        <f t="shared" si="40"/>
        <v>5399336805.55556+0.0001i</v>
      </c>
      <c r="EC165" s="1" t="str">
        <f t="shared" si="35"/>
        <v>0.010799001+34.987703i</v>
      </c>
      <c r="ED165" s="1" t="str">
        <f t="shared" si="41"/>
        <v>58307443.559033+188910392549.747i</v>
      </c>
      <c r="EE165" s="1" t="str">
        <f t="shared" si="42"/>
        <v>5399336805.56636+34.987803i</v>
      </c>
      <c r="EF165" s="1" t="str">
        <f t="shared" si="44"/>
        <v>0.010799+34.987703i</v>
      </c>
      <c r="EG165" s="1" t="str">
        <f t="shared" si="45"/>
        <v>0.010899+34.154472i</v>
      </c>
      <c r="FN165" s="1">
        <f t="shared" si="32"/>
        <v>33</v>
      </c>
      <c r="FO165" s="1">
        <f t="shared" si="33"/>
        <v>34.817543705867088</v>
      </c>
    </row>
    <row r="166" spans="2:171" ht="18" customHeight="1" x14ac:dyDescent="0.25">
      <c r="B166" s="6"/>
      <c r="AP166" s="8"/>
      <c r="AR166" s="6"/>
      <c r="AT166" s="89" t="s">
        <v>61</v>
      </c>
      <c r="AU166" s="89"/>
      <c r="AV166" s="89"/>
      <c r="AW166" s="89"/>
      <c r="AX166" s="89"/>
      <c r="AY166" s="89"/>
      <c r="AZ166" s="89"/>
      <c r="BA166" s="89"/>
      <c r="BB166" s="24" t="s">
        <v>181</v>
      </c>
      <c r="CF166" s="8"/>
      <c r="DW166" s="1">
        <f t="shared" si="37"/>
        <v>32.6</v>
      </c>
      <c r="DX166" s="12" t="str">
        <f t="shared" si="43"/>
        <v>0.0001-0.828119i</v>
      </c>
      <c r="DY166" s="13" t="str">
        <f t="shared" si="34"/>
        <v>0.000000001</v>
      </c>
      <c r="DZ166" s="13" t="str">
        <f t="shared" si="39"/>
        <v>0.010799+35.203676i</v>
      </c>
      <c r="EA166" s="14" t="str">
        <f t="shared" si="40"/>
        <v>5399336805.55556+0.0001i</v>
      </c>
      <c r="EC166" s="1" t="str">
        <f t="shared" si="35"/>
        <v>0.010799001+35.203676i</v>
      </c>
      <c r="ED166" s="1" t="str">
        <f t="shared" si="41"/>
        <v>58307443.559011+190076503517.653i</v>
      </c>
      <c r="EE166" s="1" t="str">
        <f t="shared" si="42"/>
        <v>5399336805.56636+35.203776i</v>
      </c>
      <c r="EF166" s="1" t="str">
        <f t="shared" si="44"/>
        <v>0.010799+35.203676i</v>
      </c>
      <c r="EG166" s="1" t="str">
        <f t="shared" si="45"/>
        <v>0.010899+34.375557i</v>
      </c>
      <c r="FN166" s="1">
        <f t="shared" si="32"/>
        <v>33.200000000000003</v>
      </c>
      <c r="FO166" s="1">
        <f t="shared" si="33"/>
        <v>35.038444695112396</v>
      </c>
    </row>
    <row r="167" spans="2:171" ht="18" customHeight="1" x14ac:dyDescent="0.25">
      <c r="B167" s="6"/>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8"/>
      <c r="AR167" s="6"/>
      <c r="AT167" s="24"/>
      <c r="AU167" s="89" t="s">
        <v>182</v>
      </c>
      <c r="AV167" s="89"/>
      <c r="AW167" s="89"/>
      <c r="AX167" s="89"/>
      <c r="AY167" s="89"/>
      <c r="AZ167" s="89"/>
      <c r="BA167" s="89"/>
      <c r="BB167" s="24" t="s">
        <v>183</v>
      </c>
      <c r="CF167" s="8"/>
      <c r="DW167" s="1">
        <f t="shared" si="37"/>
        <v>32.799999999999997</v>
      </c>
      <c r="DX167" s="12" t="str">
        <f t="shared" si="43"/>
        <v>0.0001-0.82307i</v>
      </c>
      <c r="DY167" s="13" t="str">
        <f t="shared" si="34"/>
        <v>0.000000001</v>
      </c>
      <c r="DZ167" s="13" t="str">
        <f t="shared" si="39"/>
        <v>0.010799+35.419649i</v>
      </c>
      <c r="EA167" s="14" t="str">
        <f t="shared" si="40"/>
        <v>5399336805.55556+0.0001i</v>
      </c>
      <c r="EC167" s="1" t="str">
        <f t="shared" si="35"/>
        <v>0.010799001+35.419649i</v>
      </c>
      <c r="ED167" s="1" t="str">
        <f t="shared" si="41"/>
        <v>58307443.558989+191242614485.559i</v>
      </c>
      <c r="EE167" s="1" t="str">
        <f t="shared" si="42"/>
        <v>5399336805.56636+35.419749i</v>
      </c>
      <c r="EF167" s="1" t="str">
        <f t="shared" si="44"/>
        <v>0.010799+35.419649i</v>
      </c>
      <c r="EG167" s="1" t="str">
        <f t="shared" si="45"/>
        <v>0.010899+34.596579i</v>
      </c>
      <c r="FN167" s="1">
        <f t="shared" si="32"/>
        <v>33.4</v>
      </c>
      <c r="FO167" s="1">
        <f t="shared" si="33"/>
        <v>35.259287684495227</v>
      </c>
    </row>
    <row r="168" spans="2:171" ht="18" customHeight="1" x14ac:dyDescent="0.3">
      <c r="B168" s="6"/>
      <c r="C168" s="30" t="s">
        <v>184</v>
      </c>
      <c r="AP168" s="8"/>
      <c r="AR168" s="6"/>
      <c r="AT168" s="24"/>
      <c r="AU168" s="89" t="s">
        <v>63</v>
      </c>
      <c r="AV168" s="89"/>
      <c r="AW168" s="89"/>
      <c r="AX168" s="89"/>
      <c r="AY168" s="89"/>
      <c r="AZ168" s="89"/>
      <c r="BA168" s="89"/>
      <c r="BB168" s="24" t="s">
        <v>185</v>
      </c>
      <c r="CF168" s="8"/>
      <c r="DW168" s="1">
        <f t="shared" si="37"/>
        <v>33</v>
      </c>
      <c r="DX168" s="12" t="str">
        <f t="shared" si="43"/>
        <v>0.0001-0.818081i</v>
      </c>
      <c r="DY168" s="13" t="str">
        <f t="shared" si="34"/>
        <v>0.000000001</v>
      </c>
      <c r="DZ168" s="13" t="str">
        <f t="shared" si="39"/>
        <v>0.010799+35.635623i</v>
      </c>
      <c r="EA168" s="14" t="str">
        <f t="shared" si="40"/>
        <v>5399336805.55556+0.0001i</v>
      </c>
      <c r="EC168" s="1" t="str">
        <f t="shared" si="35"/>
        <v>0.010799001+35.635623i</v>
      </c>
      <c r="ED168" s="1" t="str">
        <f t="shared" si="41"/>
        <v>58307443.558968+192408730852.802i</v>
      </c>
      <c r="EE168" s="1" t="str">
        <f t="shared" si="42"/>
        <v>5399336805.56636+35.635723i</v>
      </c>
      <c r="EF168" s="1" t="str">
        <f t="shared" si="44"/>
        <v>0.010799+35.635623i</v>
      </c>
      <c r="EG168" s="1" t="str">
        <f t="shared" si="45"/>
        <v>0.010899+34.817542i</v>
      </c>
      <c r="FN168" s="1">
        <f t="shared" si="32"/>
        <v>33.6</v>
      </c>
      <c r="FO168" s="1">
        <f t="shared" si="33"/>
        <v>35.480071674013011</v>
      </c>
    </row>
    <row r="169" spans="2:171" ht="18" customHeight="1" x14ac:dyDescent="0.25">
      <c r="B169" s="6"/>
      <c r="AP169" s="8"/>
      <c r="AR169" s="6"/>
      <c r="AT169" s="24"/>
      <c r="AU169" s="89" t="s">
        <v>186</v>
      </c>
      <c r="AV169" s="89"/>
      <c r="AW169" s="89"/>
      <c r="AX169" s="89"/>
      <c r="AY169" s="89"/>
      <c r="AZ169" s="89"/>
      <c r="BA169" s="89"/>
      <c r="BB169" s="24" t="s">
        <v>187</v>
      </c>
      <c r="CF169" s="8"/>
      <c r="DW169" s="1">
        <f t="shared" si="37"/>
        <v>33.200000000000003</v>
      </c>
      <c r="DX169" s="12" t="str">
        <f t="shared" si="43"/>
        <v>0.0001-0.813153i</v>
      </c>
      <c r="DY169" s="13" t="str">
        <f t="shared" si="34"/>
        <v>0.000000001</v>
      </c>
      <c r="DZ169" s="13" t="str">
        <f t="shared" si="39"/>
        <v>0.010799+35.851596i</v>
      </c>
      <c r="EA169" s="14" t="str">
        <f t="shared" si="40"/>
        <v>5399336805.55556+0.0001i</v>
      </c>
      <c r="EC169" s="1" t="str">
        <f t="shared" si="35"/>
        <v>0.010799001+35.851596i</v>
      </c>
      <c r="ED169" s="1" t="str">
        <f t="shared" si="41"/>
        <v>58307443.558946+193574841820.708i</v>
      </c>
      <c r="EE169" s="1" t="str">
        <f t="shared" si="42"/>
        <v>5399336805.56636+35.851696i</v>
      </c>
      <c r="EF169" s="1" t="str">
        <f t="shared" si="44"/>
        <v>0.010799+35.851596i</v>
      </c>
      <c r="EG169" s="1" t="str">
        <f t="shared" si="45"/>
        <v>0.010899+35.038443i</v>
      </c>
      <c r="FN169" s="1">
        <f t="shared" si="32"/>
        <v>33.799999999999997</v>
      </c>
      <c r="FO169" s="1">
        <f t="shared" si="33"/>
        <v>35.700800663663024</v>
      </c>
    </row>
    <row r="170" spans="2:171" ht="18" customHeight="1" x14ac:dyDescent="0.25">
      <c r="B170" s="6"/>
      <c r="C170" s="91" t="s">
        <v>356</v>
      </c>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P170" s="8"/>
      <c r="AR170" s="6"/>
      <c r="AT170" s="24"/>
      <c r="BA170" s="32" t="s">
        <v>188</v>
      </c>
      <c r="BB170" s="24" t="s">
        <v>346</v>
      </c>
      <c r="BC170" s="23"/>
      <c r="BD170" s="23"/>
      <c r="BE170" s="23"/>
      <c r="BF170" s="23"/>
      <c r="BH170" s="23"/>
      <c r="BI170" s="23"/>
      <c r="BJ170" s="23"/>
      <c r="BK170" s="23"/>
      <c r="BL170" s="23"/>
      <c r="BM170" s="23"/>
      <c r="BN170" s="23"/>
      <c r="BO170" s="23"/>
      <c r="BP170" s="23"/>
      <c r="BQ170" s="23"/>
      <c r="CF170" s="8"/>
      <c r="DW170" s="1">
        <f t="shared" si="37"/>
        <v>33.4</v>
      </c>
      <c r="DX170" s="12" t="str">
        <f t="shared" si="43"/>
        <v>0.0001-0.808284i</v>
      </c>
      <c r="DY170" s="13" t="str">
        <f t="shared" si="34"/>
        <v>0.000000001</v>
      </c>
      <c r="DZ170" s="13" t="str">
        <f t="shared" si="39"/>
        <v>0.010799+36.06757i</v>
      </c>
      <c r="EA170" s="14" t="str">
        <f t="shared" si="40"/>
        <v>5399336805.55556+0.0001i</v>
      </c>
      <c r="EC170" s="1" t="str">
        <f t="shared" si="35"/>
        <v>0.010799001+36.06757i</v>
      </c>
      <c r="ED170" s="1" t="str">
        <f t="shared" si="41"/>
        <v>58307443.558925+194740958187.952i</v>
      </c>
      <c r="EE170" s="1" t="str">
        <f t="shared" si="42"/>
        <v>5399336805.56636+36.06767i</v>
      </c>
      <c r="EF170" s="1" t="str">
        <f t="shared" si="44"/>
        <v>0.010799+36.06757i</v>
      </c>
      <c r="EG170" s="1" t="str">
        <f t="shared" si="45"/>
        <v>0.010899+35.259286i</v>
      </c>
      <c r="FN170" s="1">
        <f t="shared" si="32"/>
        <v>34</v>
      </c>
      <c r="FO170" s="1">
        <f t="shared" si="33"/>
        <v>35.921471653442893</v>
      </c>
    </row>
    <row r="171" spans="2:171" ht="18" customHeight="1" x14ac:dyDescent="0.25">
      <c r="B171" s="6"/>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P171" s="8"/>
      <c r="AR171" s="6"/>
      <c r="AT171" s="24"/>
      <c r="BA171" s="32" t="s">
        <v>189</v>
      </c>
      <c r="BB171" s="24" t="s">
        <v>347</v>
      </c>
      <c r="BC171" s="23"/>
      <c r="BD171" s="23"/>
      <c r="BE171" s="23"/>
      <c r="BF171" s="23"/>
      <c r="BG171" s="23"/>
      <c r="BH171" s="23"/>
      <c r="BI171" s="23"/>
      <c r="BJ171" s="23"/>
      <c r="BK171" s="23"/>
      <c r="BL171" s="23"/>
      <c r="BM171" s="23"/>
      <c r="BN171" s="23"/>
      <c r="BO171" s="23"/>
      <c r="BP171" s="23"/>
      <c r="BQ171" s="23"/>
      <c r="CF171" s="8"/>
      <c r="DW171" s="1">
        <f t="shared" si="37"/>
        <v>33.6</v>
      </c>
      <c r="DX171" s="12" t="str">
        <f t="shared" si="43"/>
        <v>0.0001-0.803473i</v>
      </c>
      <c r="DY171" s="13" t="str">
        <f t="shared" si="34"/>
        <v>0.000000001</v>
      </c>
      <c r="DZ171" s="13" t="str">
        <f t="shared" si="39"/>
        <v>0.010799+36.283543i</v>
      </c>
      <c r="EA171" s="14" t="str">
        <f t="shared" si="40"/>
        <v>5399336805.55556+0.0001i</v>
      </c>
      <c r="EC171" s="1" t="str">
        <f t="shared" si="35"/>
        <v>0.010799001+36.283543i</v>
      </c>
      <c r="ED171" s="1" t="str">
        <f t="shared" si="41"/>
        <v>58307443.558903+195907069155.858i</v>
      </c>
      <c r="EE171" s="1" t="str">
        <f t="shared" si="42"/>
        <v>5399336805.56636+36.283643i</v>
      </c>
      <c r="EF171" s="1" t="str">
        <f t="shared" si="44"/>
        <v>0.010799+36.283543i</v>
      </c>
      <c r="EG171" s="1" t="str">
        <f t="shared" si="45"/>
        <v>0.010899+35.48007i</v>
      </c>
      <c r="FN171" s="1">
        <f t="shared" si="32"/>
        <v>34.200000000000003</v>
      </c>
      <c r="FO171" s="1">
        <f t="shared" si="33"/>
        <v>36.142088643350014</v>
      </c>
    </row>
    <row r="172" spans="2:171" ht="18" customHeight="1" x14ac:dyDescent="0.25">
      <c r="B172" s="6"/>
      <c r="AP172" s="8"/>
      <c r="AR172" s="6"/>
      <c r="AT172" s="24"/>
      <c r="AU172" s="89" t="s">
        <v>190</v>
      </c>
      <c r="AV172" s="89"/>
      <c r="AW172" s="89"/>
      <c r="AX172" s="89"/>
      <c r="AY172" s="89"/>
      <c r="AZ172" s="89"/>
      <c r="BA172" s="89"/>
      <c r="BB172" s="24" t="s">
        <v>191</v>
      </c>
      <c r="CF172" s="8"/>
      <c r="DW172" s="1">
        <f t="shared" si="37"/>
        <v>33.799999999999997</v>
      </c>
      <c r="DX172" s="12" t="str">
        <f t="shared" si="43"/>
        <v>0.0001-0.798718i</v>
      </c>
      <c r="DY172" s="13" t="str">
        <f t="shared" si="34"/>
        <v>0.000000001</v>
      </c>
      <c r="DZ172" s="13" t="str">
        <f t="shared" si="39"/>
        <v>0.010799+36.499517i</v>
      </c>
      <c r="EA172" s="14" t="str">
        <f t="shared" si="40"/>
        <v>5399336805.55556+0.0001i</v>
      </c>
      <c r="EC172" s="1" t="str">
        <f t="shared" si="35"/>
        <v>0.010799001+36.499517i</v>
      </c>
      <c r="ED172" s="1" t="str">
        <f t="shared" si="41"/>
        <v>58307443.558881+197073185523.101i</v>
      </c>
      <c r="EE172" s="1" t="str">
        <f t="shared" si="42"/>
        <v>5399336805.56636+36.499617i</v>
      </c>
      <c r="EF172" s="1" t="str">
        <f t="shared" si="44"/>
        <v>0.010799+36.499517i</v>
      </c>
      <c r="EG172" s="1" t="str">
        <f t="shared" si="45"/>
        <v>0.010899+35.700799i</v>
      </c>
      <c r="FN172" s="1">
        <f t="shared" si="32"/>
        <v>34.4</v>
      </c>
      <c r="FO172" s="1">
        <f t="shared" si="33"/>
        <v>36.362651633382036</v>
      </c>
    </row>
    <row r="173" spans="2:171" ht="18" customHeight="1" x14ac:dyDescent="0.25">
      <c r="B173" s="6"/>
      <c r="AP173" s="8"/>
      <c r="AR173" s="6"/>
      <c r="AT173" s="24"/>
      <c r="AU173" s="89" t="s">
        <v>192</v>
      </c>
      <c r="AV173" s="89"/>
      <c r="AW173" s="89"/>
      <c r="AX173" s="89"/>
      <c r="AY173" s="89"/>
      <c r="AZ173" s="89"/>
      <c r="BA173" s="89"/>
      <c r="BB173" s="24" t="s">
        <v>193</v>
      </c>
      <c r="CF173" s="8"/>
      <c r="DW173" s="1">
        <f t="shared" si="37"/>
        <v>34</v>
      </c>
      <c r="DX173" s="12" t="str">
        <f t="shared" si="43"/>
        <v>0.0001-0.79402i</v>
      </c>
      <c r="DY173" s="13" t="str">
        <f t="shared" si="34"/>
        <v>0.000000001</v>
      </c>
      <c r="DZ173" s="13" t="str">
        <f t="shared" si="39"/>
        <v>0.010799+36.71549i</v>
      </c>
      <c r="EA173" s="14" t="str">
        <f t="shared" si="40"/>
        <v>5399336805.55556+0.0001i</v>
      </c>
      <c r="EC173" s="1" t="str">
        <f t="shared" si="35"/>
        <v>0.010799001+36.71549i</v>
      </c>
      <c r="ED173" s="1" t="str">
        <f t="shared" si="41"/>
        <v>58307443.55886+198239296491.007i</v>
      </c>
      <c r="EE173" s="1" t="str">
        <f t="shared" si="42"/>
        <v>5399336805.56636+36.71559i</v>
      </c>
      <c r="EF173" s="1" t="str">
        <f t="shared" si="44"/>
        <v>0.010799+36.71549i</v>
      </c>
      <c r="EG173" s="1" t="str">
        <f t="shared" si="45"/>
        <v>0.010899+35.92147i</v>
      </c>
      <c r="FN173" s="1">
        <f t="shared" ref="FN173:FN236" si="46">DW176</f>
        <v>34.6</v>
      </c>
      <c r="FO173" s="1">
        <f t="shared" ref="FO173:FO236" si="47">IMABS(EG176)</f>
        <v>36.583161623536597</v>
      </c>
    </row>
    <row r="174" spans="2:171" ht="18" customHeight="1" x14ac:dyDescent="0.25">
      <c r="B174" s="6"/>
      <c r="AP174" s="8"/>
      <c r="AR174" s="6"/>
      <c r="AT174" s="24"/>
      <c r="AU174" s="89" t="s">
        <v>66</v>
      </c>
      <c r="AV174" s="89"/>
      <c r="AW174" s="89"/>
      <c r="AX174" s="89"/>
      <c r="AY174" s="89"/>
      <c r="AZ174" s="89"/>
      <c r="BA174" s="89"/>
      <c r="BB174" s="24" t="s">
        <v>194</v>
      </c>
      <c r="CF174" s="8"/>
      <c r="DW174" s="1">
        <f t="shared" si="37"/>
        <v>34.200000000000003</v>
      </c>
      <c r="DX174" s="12" t="str">
        <f t="shared" si="43"/>
        <v>0.0001-0.789377i</v>
      </c>
      <c r="DY174" s="13" t="str">
        <f t="shared" si="34"/>
        <v>0.000000001</v>
      </c>
      <c r="DZ174" s="13" t="str">
        <f t="shared" si="39"/>
        <v>0.010799+36.931464i</v>
      </c>
      <c r="EA174" s="14" t="str">
        <f t="shared" si="40"/>
        <v>5399336805.55556+0.0001i</v>
      </c>
      <c r="EC174" s="1" t="str">
        <f t="shared" si="35"/>
        <v>0.010799001+36.931464i</v>
      </c>
      <c r="ED174" s="1" t="str">
        <f t="shared" si="41"/>
        <v>58307443.558838+199405412858.25i</v>
      </c>
      <c r="EE174" s="1" t="str">
        <f t="shared" si="42"/>
        <v>5399336805.56636+36.931564i</v>
      </c>
      <c r="EF174" s="1" t="str">
        <f t="shared" si="44"/>
        <v>0.010799+36.931464i</v>
      </c>
      <c r="EG174" s="1" t="str">
        <f t="shared" si="45"/>
        <v>0.010899+36.142087i</v>
      </c>
      <c r="FN174" s="1">
        <f t="shared" si="46"/>
        <v>34.799999999999997</v>
      </c>
      <c r="FO174" s="1">
        <f t="shared" si="47"/>
        <v>36.803618613811473</v>
      </c>
    </row>
    <row r="175" spans="2:171" ht="18" customHeight="1" x14ac:dyDescent="0.25">
      <c r="B175" s="6"/>
      <c r="AP175" s="8"/>
      <c r="AR175" s="6"/>
      <c r="AU175" s="89" t="s">
        <v>62</v>
      </c>
      <c r="AV175" s="89"/>
      <c r="AW175" s="89"/>
      <c r="AX175" s="89"/>
      <c r="AY175" s="89"/>
      <c r="AZ175" s="89"/>
      <c r="BA175" s="89"/>
      <c r="BB175" s="24" t="s">
        <v>195</v>
      </c>
      <c r="CF175" s="8"/>
      <c r="DW175" s="1">
        <f t="shared" si="37"/>
        <v>34.4</v>
      </c>
      <c r="DX175" s="12" t="str">
        <f t="shared" si="43"/>
        <v>0.0001-0.784787i</v>
      </c>
      <c r="DY175" s="13" t="str">
        <f t="shared" si="34"/>
        <v>0.000000001</v>
      </c>
      <c r="DZ175" s="13" t="str">
        <f t="shared" si="39"/>
        <v>0.010799+37.147437i</v>
      </c>
      <c r="EA175" s="14" t="str">
        <f t="shared" si="40"/>
        <v>5399336805.55556+0.0001i</v>
      </c>
      <c r="EC175" s="1" t="str">
        <f t="shared" si="35"/>
        <v>0.010799001+37.147437i</v>
      </c>
      <c r="ED175" s="1" t="str">
        <f t="shared" si="41"/>
        <v>58307443.558817+200571523826.156i</v>
      </c>
      <c r="EE175" s="1" t="str">
        <f t="shared" si="42"/>
        <v>5399336805.56636+37.147537i</v>
      </c>
      <c r="EF175" s="1" t="str">
        <f t="shared" si="44"/>
        <v>0.010799+37.147437i</v>
      </c>
      <c r="EG175" s="1" t="str">
        <f t="shared" si="45"/>
        <v>0.010899+36.36265i</v>
      </c>
      <c r="FN175" s="1">
        <f t="shared" si="46"/>
        <v>35</v>
      </c>
      <c r="FO175" s="1">
        <f t="shared" si="47"/>
        <v>37.024025604204311</v>
      </c>
    </row>
    <row r="176" spans="2:171" ht="18" customHeight="1" x14ac:dyDescent="0.25">
      <c r="B176" s="6"/>
      <c r="AP176" s="8"/>
      <c r="AR176" s="6"/>
      <c r="AU176" s="89" t="s">
        <v>196</v>
      </c>
      <c r="AV176" s="89"/>
      <c r="AW176" s="89"/>
      <c r="AX176" s="89"/>
      <c r="AY176" s="89"/>
      <c r="AZ176" s="89"/>
      <c r="BA176" s="89"/>
      <c r="BB176" s="1" t="s">
        <v>197</v>
      </c>
      <c r="CF176" s="8"/>
      <c r="DW176" s="1">
        <f t="shared" si="37"/>
        <v>34.6</v>
      </c>
      <c r="DX176" s="12" t="str">
        <f t="shared" si="43"/>
        <v>0.0001-0.780251i</v>
      </c>
      <c r="DY176" s="13" t="str">
        <f t="shared" ref="DY176:DY239" si="48">COMPLEX(0.000000001,-1*$CL$25/DW176)</f>
        <v>0.000000001</v>
      </c>
      <c r="DZ176" s="13" t="str">
        <f t="shared" si="39"/>
        <v>0.010799+37.363411i</v>
      </c>
      <c r="EA176" s="14" t="str">
        <f t="shared" si="40"/>
        <v>5399336805.55556+0.0001i</v>
      </c>
      <c r="EC176" s="1" t="str">
        <f t="shared" ref="EC176:EC239" si="49">IMSUM(DZ176,DY176)</f>
        <v>0.010799001+37.363411i</v>
      </c>
      <c r="ED176" s="1" t="str">
        <f t="shared" si="41"/>
        <v>58307443.558795+201737640193.399i</v>
      </c>
      <c r="EE176" s="1" t="str">
        <f t="shared" si="42"/>
        <v>5399336805.56636+37.363511i</v>
      </c>
      <c r="EF176" s="1" t="str">
        <f t="shared" si="44"/>
        <v>0.010799+37.363411i</v>
      </c>
      <c r="EG176" s="1" t="str">
        <f t="shared" si="45"/>
        <v>0.010899+36.58316i</v>
      </c>
      <c r="FN176" s="1">
        <f t="shared" si="46"/>
        <v>35.200000000000003</v>
      </c>
      <c r="FO176" s="1">
        <f t="shared" si="47"/>
        <v>37.244381594713062</v>
      </c>
    </row>
    <row r="177" spans="2:171" ht="18" customHeight="1" x14ac:dyDescent="0.25">
      <c r="B177" s="6"/>
      <c r="AP177" s="8"/>
      <c r="AR177" s="6"/>
      <c r="BA177" s="35"/>
      <c r="CF177" s="8"/>
      <c r="DW177" s="1">
        <f t="shared" si="37"/>
        <v>34.799999999999997</v>
      </c>
      <c r="DX177" s="12" t="str">
        <f t="shared" si="43"/>
        <v>0.0001-0.775767i</v>
      </c>
      <c r="DY177" s="13" t="str">
        <f t="shared" si="48"/>
        <v>0.000000001</v>
      </c>
      <c r="DZ177" s="13" t="str">
        <f t="shared" si="39"/>
        <v>0.010799+37.579384i</v>
      </c>
      <c r="EA177" s="14" t="str">
        <f t="shared" si="40"/>
        <v>5399336805.55556+0.0001i</v>
      </c>
      <c r="EC177" s="1" t="str">
        <f t="shared" si="49"/>
        <v>0.010799001+37.579384i</v>
      </c>
      <c r="ED177" s="1" t="str">
        <f t="shared" si="41"/>
        <v>58307443.558773+202903751161.306i</v>
      </c>
      <c r="EE177" s="1" t="str">
        <f t="shared" si="42"/>
        <v>5399336805.56636+37.579484i</v>
      </c>
      <c r="EF177" s="1" t="str">
        <f t="shared" si="44"/>
        <v>0.010799+37.579384i</v>
      </c>
      <c r="EG177" s="1" t="str">
        <f t="shared" si="45"/>
        <v>0.010899+36.803617i</v>
      </c>
      <c r="FN177" s="1">
        <f t="shared" si="46"/>
        <v>35.4</v>
      </c>
      <c r="FO177" s="1">
        <f t="shared" si="47"/>
        <v>37.464688585335523</v>
      </c>
    </row>
    <row r="178" spans="2:171" ht="18" customHeight="1" x14ac:dyDescent="0.25">
      <c r="B178" s="6"/>
      <c r="AP178" s="8"/>
      <c r="AR178" s="6"/>
      <c r="AS178" s="92" t="s">
        <v>306</v>
      </c>
      <c r="AT178" s="93"/>
      <c r="AU178" s="93"/>
      <c r="AV178" s="93"/>
      <c r="AW178" s="93"/>
      <c r="AX178" s="93"/>
      <c r="AY178" s="93"/>
      <c r="AZ178" s="93"/>
      <c r="BA178" s="93"/>
      <c r="BB178" s="93"/>
      <c r="BC178" s="93"/>
      <c r="BD178" s="93"/>
      <c r="BE178" s="93"/>
      <c r="BF178" s="93"/>
      <c r="BG178" s="93"/>
      <c r="BH178" s="93"/>
      <c r="BI178" s="93"/>
      <c r="BJ178" s="93"/>
      <c r="BK178" s="93"/>
      <c r="BL178" s="93"/>
      <c r="BM178" s="93"/>
      <c r="BN178" s="93"/>
      <c r="BO178" s="93"/>
      <c r="BP178" s="93"/>
      <c r="BQ178" s="93"/>
      <c r="BR178" s="93"/>
      <c r="BS178" s="93"/>
      <c r="BT178" s="93"/>
      <c r="BU178" s="93"/>
      <c r="BV178" s="93"/>
      <c r="BW178" s="93"/>
      <c r="BX178" s="93"/>
      <c r="BY178" s="93"/>
      <c r="BZ178" s="93"/>
      <c r="CA178" s="93"/>
      <c r="CB178" s="93"/>
      <c r="CC178" s="93"/>
      <c r="CD178" s="93"/>
      <c r="CE178" s="93"/>
      <c r="CF178" s="8"/>
      <c r="DW178" s="1">
        <f t="shared" ref="DW178:DW241" si="50">ROUND(DW177+0.2,1)</f>
        <v>35</v>
      </c>
      <c r="DX178" s="12" t="str">
        <f t="shared" si="43"/>
        <v>0.0001-0.771334i</v>
      </c>
      <c r="DY178" s="13" t="str">
        <f t="shared" si="48"/>
        <v>0.000000001</v>
      </c>
      <c r="DZ178" s="13" t="str">
        <f t="shared" si="39"/>
        <v>0.010799+37.795358i</v>
      </c>
      <c r="EA178" s="14" t="str">
        <f t="shared" si="40"/>
        <v>5399336805.55556+0.0001i</v>
      </c>
      <c r="EC178" s="1" t="str">
        <f t="shared" si="49"/>
        <v>0.010799001+37.795358i</v>
      </c>
      <c r="ED178" s="1" t="str">
        <f t="shared" si="41"/>
        <v>58307443.558752+204069867528.549i</v>
      </c>
      <c r="EE178" s="1" t="str">
        <f t="shared" si="42"/>
        <v>5399336805.56636+37.795458i</v>
      </c>
      <c r="EF178" s="1" t="str">
        <f t="shared" si="44"/>
        <v>0.010799+37.795358i</v>
      </c>
      <c r="EG178" s="1" t="str">
        <f t="shared" si="45"/>
        <v>0.010899+37.024024i</v>
      </c>
      <c r="FN178" s="1">
        <f t="shared" si="46"/>
        <v>35.6</v>
      </c>
      <c r="FO178" s="1">
        <f t="shared" si="47"/>
        <v>37.684945576069723</v>
      </c>
    </row>
    <row r="179" spans="2:171" ht="18" customHeight="1" x14ac:dyDescent="0.25">
      <c r="B179" s="6"/>
      <c r="AP179" s="8"/>
      <c r="AR179" s="6"/>
      <c r="AS179" s="94" t="s">
        <v>307</v>
      </c>
      <c r="AT179" s="94"/>
      <c r="AU179" s="94"/>
      <c r="AV179" s="94"/>
      <c r="AW179" s="94"/>
      <c r="AX179" s="94"/>
      <c r="AY179" s="94"/>
      <c r="AZ179" s="94"/>
      <c r="BA179" s="94"/>
      <c r="BB179" s="94"/>
      <c r="BC179" s="94"/>
      <c r="BD179" s="94"/>
      <c r="BE179" s="94"/>
      <c r="BF179" s="94"/>
      <c r="BG179" s="94"/>
      <c r="BH179" s="94"/>
      <c r="BI179" s="94"/>
      <c r="BJ179" s="94"/>
      <c r="BK179" s="94"/>
      <c r="BL179" s="94"/>
      <c r="BM179" s="94"/>
      <c r="BN179" s="94"/>
      <c r="BO179" s="94"/>
      <c r="BP179" s="94"/>
      <c r="BQ179" s="94"/>
      <c r="BR179" s="94"/>
      <c r="BS179" s="94"/>
      <c r="BT179" s="94"/>
      <c r="BU179" s="94"/>
      <c r="BV179" s="94"/>
      <c r="BW179" s="94"/>
      <c r="BX179" s="94"/>
      <c r="BY179" s="94"/>
      <c r="BZ179" s="94"/>
      <c r="CA179" s="94"/>
      <c r="CB179" s="94"/>
      <c r="CC179" s="94"/>
      <c r="CD179" s="94"/>
      <c r="CE179" s="94"/>
      <c r="CF179" s="8"/>
      <c r="DW179" s="1">
        <f t="shared" si="50"/>
        <v>35.200000000000003</v>
      </c>
      <c r="DX179" s="12" t="str">
        <f t="shared" si="43"/>
        <v>0.0001-0.766951i</v>
      </c>
      <c r="DY179" s="13" t="str">
        <f t="shared" si="48"/>
        <v>0.000000001</v>
      </c>
      <c r="DZ179" s="13" t="str">
        <f t="shared" si="39"/>
        <v>0.010799+38.011331i</v>
      </c>
      <c r="EA179" s="14" t="str">
        <f t="shared" si="40"/>
        <v>5399336805.55556+0.0001i</v>
      </c>
      <c r="EC179" s="1" t="str">
        <f t="shared" si="49"/>
        <v>0.010799001+38.011331i</v>
      </c>
      <c r="ED179" s="1" t="str">
        <f t="shared" si="41"/>
        <v>58307443.55873+205235978496.455i</v>
      </c>
      <c r="EE179" s="1" t="str">
        <f t="shared" si="42"/>
        <v>5399336805.56636+38.011431i</v>
      </c>
      <c r="EF179" s="1" t="str">
        <f t="shared" si="44"/>
        <v>0.010799+38.011331i</v>
      </c>
      <c r="EG179" s="1" t="str">
        <f t="shared" si="45"/>
        <v>0.010899+37.24438i</v>
      </c>
      <c r="FN179" s="1">
        <f t="shared" si="46"/>
        <v>35.799999999999997</v>
      </c>
      <c r="FO179" s="1">
        <f t="shared" si="47"/>
        <v>37.905156566913504</v>
      </c>
    </row>
    <row r="180" spans="2:171" ht="18" customHeight="1" x14ac:dyDescent="0.25">
      <c r="B180" s="6"/>
      <c r="AP180" s="8"/>
      <c r="AR180" s="6"/>
      <c r="AS180" s="94"/>
      <c r="AT180" s="94"/>
      <c r="AU180" s="94"/>
      <c r="AV180" s="94"/>
      <c r="AW180" s="94"/>
      <c r="AX180" s="94"/>
      <c r="AY180" s="94"/>
      <c r="AZ180" s="94"/>
      <c r="BA180" s="94"/>
      <c r="BB180" s="94"/>
      <c r="BC180" s="94"/>
      <c r="BD180" s="94"/>
      <c r="BE180" s="94"/>
      <c r="BF180" s="94"/>
      <c r="BG180" s="94"/>
      <c r="BH180" s="94"/>
      <c r="BI180" s="94"/>
      <c r="BJ180" s="94"/>
      <c r="BK180" s="94"/>
      <c r="BL180" s="94"/>
      <c r="BM180" s="94"/>
      <c r="BN180" s="94"/>
      <c r="BO180" s="94"/>
      <c r="BP180" s="94"/>
      <c r="BQ180" s="94"/>
      <c r="BR180" s="94"/>
      <c r="BS180" s="94"/>
      <c r="BT180" s="94"/>
      <c r="BU180" s="94"/>
      <c r="BV180" s="94"/>
      <c r="BW180" s="94"/>
      <c r="BX180" s="94"/>
      <c r="BY180" s="94"/>
      <c r="BZ180" s="94"/>
      <c r="CA180" s="94"/>
      <c r="CB180" s="94"/>
      <c r="CC180" s="94"/>
      <c r="CD180" s="94"/>
      <c r="CE180" s="94"/>
      <c r="CF180" s="8"/>
      <c r="DW180" s="1">
        <f t="shared" si="50"/>
        <v>35.4</v>
      </c>
      <c r="DX180" s="12" t="str">
        <f t="shared" si="43"/>
        <v>0.0001-0.762618i</v>
      </c>
      <c r="DY180" s="13" t="str">
        <f t="shared" si="48"/>
        <v>0.000000001</v>
      </c>
      <c r="DZ180" s="13" t="str">
        <f t="shared" si="39"/>
        <v>0.010799+38.227305i</v>
      </c>
      <c r="EA180" s="14" t="str">
        <f t="shared" si="40"/>
        <v>5399336805.55556+0.0001i</v>
      </c>
      <c r="EC180" s="1" t="str">
        <f t="shared" si="49"/>
        <v>0.010799001+38.227305i</v>
      </c>
      <c r="ED180" s="1" t="str">
        <f t="shared" si="41"/>
        <v>58307443.558709+206402094863.698i</v>
      </c>
      <c r="EE180" s="1" t="str">
        <f t="shared" si="42"/>
        <v>5399336805.56636+38.227405i</v>
      </c>
      <c r="EF180" s="1" t="str">
        <f t="shared" si="44"/>
        <v>0.010799+38.227305i</v>
      </c>
      <c r="EG180" s="1" t="str">
        <f t="shared" si="45"/>
        <v>0.010899+37.464687i</v>
      </c>
      <c r="FN180" s="1">
        <f t="shared" si="46"/>
        <v>36</v>
      </c>
      <c r="FO180" s="1">
        <f t="shared" si="47"/>
        <v>38.125318557865064</v>
      </c>
    </row>
    <row r="181" spans="2:171" ht="18" customHeight="1" x14ac:dyDescent="0.25">
      <c r="B181" s="6"/>
      <c r="AP181" s="8"/>
      <c r="AR181" s="6"/>
      <c r="AS181" s="94"/>
      <c r="AT181" s="94"/>
      <c r="AU181" s="94"/>
      <c r="AV181" s="94"/>
      <c r="AW181" s="94"/>
      <c r="AX181" s="94"/>
      <c r="AY181" s="94"/>
      <c r="AZ181" s="94"/>
      <c r="BA181" s="94"/>
      <c r="BB181" s="94"/>
      <c r="BC181" s="94"/>
      <c r="BD181" s="94"/>
      <c r="BE181" s="94"/>
      <c r="BF181" s="94"/>
      <c r="BG181" s="94"/>
      <c r="BH181" s="94"/>
      <c r="BI181" s="94"/>
      <c r="BJ181" s="94"/>
      <c r="BK181" s="94"/>
      <c r="BL181" s="94"/>
      <c r="BM181" s="94"/>
      <c r="BN181" s="94"/>
      <c r="BO181" s="94"/>
      <c r="BP181" s="94"/>
      <c r="BQ181" s="94"/>
      <c r="BR181" s="94"/>
      <c r="BS181" s="94"/>
      <c r="BT181" s="94"/>
      <c r="BU181" s="94"/>
      <c r="BV181" s="94"/>
      <c r="BW181" s="94"/>
      <c r="BX181" s="94"/>
      <c r="BY181" s="94"/>
      <c r="BZ181" s="94"/>
      <c r="CA181" s="94"/>
      <c r="CB181" s="94"/>
      <c r="CC181" s="94"/>
      <c r="CD181" s="94"/>
      <c r="CE181" s="94"/>
      <c r="CF181" s="8"/>
      <c r="DW181" s="1">
        <f t="shared" si="50"/>
        <v>35.6</v>
      </c>
      <c r="DX181" s="12" t="str">
        <f t="shared" si="43"/>
        <v>0.0001-0.758334i</v>
      </c>
      <c r="DY181" s="13" t="str">
        <f t="shared" si="48"/>
        <v>0.000000001</v>
      </c>
      <c r="DZ181" s="13" t="str">
        <f t="shared" si="39"/>
        <v>0.010799+38.443278i</v>
      </c>
      <c r="EA181" s="14" t="str">
        <f t="shared" si="40"/>
        <v>5399336805.55556+0.0001i</v>
      </c>
      <c r="EC181" s="1" t="str">
        <f t="shared" si="49"/>
        <v>0.010799001+38.443278i</v>
      </c>
      <c r="ED181" s="1" t="str">
        <f t="shared" si="41"/>
        <v>58307443.558687+207568205831.604i</v>
      </c>
      <c r="EE181" s="1" t="str">
        <f t="shared" si="42"/>
        <v>5399336805.56636+38.443378i</v>
      </c>
      <c r="EF181" s="1" t="str">
        <f t="shared" si="44"/>
        <v>0.010799+38.443278i</v>
      </c>
      <c r="EG181" s="1" t="str">
        <f t="shared" si="45"/>
        <v>0.010899+37.684944i</v>
      </c>
      <c r="FN181" s="1">
        <f t="shared" si="46"/>
        <v>36.200000000000003</v>
      </c>
      <c r="FO181" s="1">
        <f t="shared" si="47"/>
        <v>38.345434548922377</v>
      </c>
    </row>
    <row r="182" spans="2:171" ht="18" customHeight="1" x14ac:dyDescent="0.25">
      <c r="B182" s="6"/>
      <c r="AP182" s="8"/>
      <c r="AR182" s="6"/>
      <c r="AS182" s="94"/>
      <c r="AT182" s="94"/>
      <c r="AU182" s="94"/>
      <c r="AV182" s="94"/>
      <c r="AW182" s="94"/>
      <c r="AX182" s="94"/>
      <c r="AY182" s="94"/>
      <c r="AZ182" s="94"/>
      <c r="BA182" s="94"/>
      <c r="BB182" s="94"/>
      <c r="BC182" s="94"/>
      <c r="BD182" s="94"/>
      <c r="BE182" s="94"/>
      <c r="BF182" s="94"/>
      <c r="BG182" s="94"/>
      <c r="BH182" s="94"/>
      <c r="BI182" s="94"/>
      <c r="BJ182" s="94"/>
      <c r="BK182" s="94"/>
      <c r="BL182" s="94"/>
      <c r="BM182" s="94"/>
      <c r="BN182" s="94"/>
      <c r="BO182" s="94"/>
      <c r="BP182" s="94"/>
      <c r="BQ182" s="94"/>
      <c r="BR182" s="94"/>
      <c r="BS182" s="94"/>
      <c r="BT182" s="94"/>
      <c r="BU182" s="94"/>
      <c r="BV182" s="94"/>
      <c r="BW182" s="94"/>
      <c r="BX182" s="94"/>
      <c r="BY182" s="94"/>
      <c r="BZ182" s="94"/>
      <c r="CA182" s="94"/>
      <c r="CB182" s="94"/>
      <c r="CC182" s="94"/>
      <c r="CD182" s="94"/>
      <c r="CE182" s="94"/>
      <c r="CF182" s="8"/>
      <c r="DW182" s="1">
        <f t="shared" si="50"/>
        <v>35.799999999999997</v>
      </c>
      <c r="DX182" s="12" t="str">
        <f t="shared" si="43"/>
        <v>0.0001-0.754097i</v>
      </c>
      <c r="DY182" s="13" t="str">
        <f t="shared" si="48"/>
        <v>0.000000001</v>
      </c>
      <c r="DZ182" s="13" t="str">
        <f t="shared" si="39"/>
        <v>0.010799+38.659252i</v>
      </c>
      <c r="EA182" s="14" t="str">
        <f t="shared" si="40"/>
        <v>5399336805.55556+0.0001i</v>
      </c>
      <c r="EC182" s="1" t="str">
        <f t="shared" si="49"/>
        <v>0.010799001+38.659252i</v>
      </c>
      <c r="ED182" s="1" t="str">
        <f t="shared" si="41"/>
        <v>58307443.558665+208734322198.847i</v>
      </c>
      <c r="EE182" s="1" t="str">
        <f t="shared" si="42"/>
        <v>5399336805.56636+38.659352i</v>
      </c>
      <c r="EF182" s="1" t="str">
        <f t="shared" si="44"/>
        <v>0.010799+38.659252i</v>
      </c>
      <c r="EG182" s="1" t="str">
        <f t="shared" si="45"/>
        <v>0.010899+37.905155i</v>
      </c>
      <c r="FN182" s="1">
        <f t="shared" si="46"/>
        <v>36.4</v>
      </c>
      <c r="FO182" s="1">
        <f t="shared" si="47"/>
        <v>38.56550654008354</v>
      </c>
    </row>
    <row r="183" spans="2:171" ht="18" customHeight="1" x14ac:dyDescent="0.25">
      <c r="B183" s="6"/>
      <c r="AP183" s="8"/>
      <c r="AR183" s="6"/>
      <c r="AS183" s="94"/>
      <c r="AT183" s="94"/>
      <c r="AU183" s="94"/>
      <c r="AV183" s="94"/>
      <c r="AW183" s="94"/>
      <c r="AX183" s="94"/>
      <c r="AY183" s="94"/>
      <c r="AZ183" s="94"/>
      <c r="BA183" s="94"/>
      <c r="BB183" s="94"/>
      <c r="BC183" s="94"/>
      <c r="BD183" s="94"/>
      <c r="BE183" s="94"/>
      <c r="BF183" s="94"/>
      <c r="BG183" s="94"/>
      <c r="BH183" s="94"/>
      <c r="BI183" s="94"/>
      <c r="BJ183" s="94"/>
      <c r="BK183" s="94"/>
      <c r="BL183" s="94"/>
      <c r="BM183" s="94"/>
      <c r="BN183" s="94"/>
      <c r="BO183" s="94"/>
      <c r="BP183" s="94"/>
      <c r="BQ183" s="94"/>
      <c r="BR183" s="94"/>
      <c r="BS183" s="94"/>
      <c r="BT183" s="94"/>
      <c r="BU183" s="94"/>
      <c r="BV183" s="94"/>
      <c r="BW183" s="94"/>
      <c r="BX183" s="94"/>
      <c r="BY183" s="94"/>
      <c r="BZ183" s="94"/>
      <c r="CA183" s="94"/>
      <c r="CB183" s="94"/>
      <c r="CC183" s="94"/>
      <c r="CD183" s="94"/>
      <c r="CE183" s="94"/>
      <c r="CF183" s="8"/>
      <c r="DW183" s="1">
        <f t="shared" si="50"/>
        <v>36</v>
      </c>
      <c r="DX183" s="12" t="str">
        <f t="shared" si="43"/>
        <v>0.0001-0.749908i</v>
      </c>
      <c r="DY183" s="13" t="str">
        <f t="shared" si="48"/>
        <v>0.000000001</v>
      </c>
      <c r="DZ183" s="13" t="str">
        <f t="shared" si="39"/>
        <v>0.010799+38.875225i</v>
      </c>
      <c r="EA183" s="14" t="str">
        <f t="shared" si="40"/>
        <v>5399336805.55556+0.0001i</v>
      </c>
      <c r="EC183" s="1" t="str">
        <f t="shared" si="49"/>
        <v>0.010799001+38.875225i</v>
      </c>
      <c r="ED183" s="1" t="str">
        <f t="shared" si="41"/>
        <v>58307443.558644+209900433166.754i</v>
      </c>
      <c r="EE183" s="1" t="str">
        <f t="shared" si="42"/>
        <v>5399336805.56636+38.875325i</v>
      </c>
      <c r="EF183" s="1" t="str">
        <f t="shared" si="44"/>
        <v>0.010799+38.875225i</v>
      </c>
      <c r="EG183" s="1" t="str">
        <f t="shared" si="45"/>
        <v>0.010899+38.125317i</v>
      </c>
      <c r="FN183" s="1">
        <f t="shared" si="46"/>
        <v>36.6</v>
      </c>
      <c r="FO183" s="1">
        <f t="shared" si="47"/>
        <v>38.78553253134681</v>
      </c>
    </row>
    <row r="184" spans="2:171" ht="18" customHeight="1" x14ac:dyDescent="0.25">
      <c r="B184" s="6"/>
      <c r="AP184" s="8"/>
      <c r="AR184" s="6"/>
      <c r="CF184" s="8"/>
      <c r="DW184" s="1">
        <f t="shared" si="50"/>
        <v>36.200000000000003</v>
      </c>
      <c r="DX184" s="12" t="str">
        <f t="shared" si="43"/>
        <v>0.0001-0.745765i</v>
      </c>
      <c r="DY184" s="13" t="str">
        <f t="shared" si="48"/>
        <v>0.000000001</v>
      </c>
      <c r="DZ184" s="13" t="str">
        <f t="shared" si="39"/>
        <v>0.010799+39.091198i</v>
      </c>
      <c r="EA184" s="14" t="str">
        <f t="shared" si="40"/>
        <v>5399336805.55556+0.0001i</v>
      </c>
      <c r="EC184" s="1" t="str">
        <f t="shared" si="49"/>
        <v>0.010799001+39.091198i</v>
      </c>
      <c r="ED184" s="1" t="str">
        <f t="shared" si="41"/>
        <v>58307443.558622+211066544134.66i</v>
      </c>
      <c r="EE184" s="1" t="str">
        <f t="shared" si="42"/>
        <v>5399336805.56636+39.091298i</v>
      </c>
      <c r="EF184" s="1" t="str">
        <f t="shared" si="44"/>
        <v>0.010799+39.091198i</v>
      </c>
      <c r="EG184" s="1" t="str">
        <f t="shared" si="45"/>
        <v>0.010899+38.345433i</v>
      </c>
      <c r="FN184" s="1">
        <f t="shared" si="46"/>
        <v>36.799999999999997</v>
      </c>
      <c r="FO184" s="1">
        <f t="shared" si="47"/>
        <v>39.005514522710378</v>
      </c>
    </row>
    <row r="185" spans="2:171" ht="18" customHeight="1" x14ac:dyDescent="0.25">
      <c r="B185" s="6"/>
      <c r="AP185" s="8"/>
      <c r="AR185" s="6"/>
      <c r="CF185" s="8"/>
      <c r="DW185" s="1">
        <f t="shared" si="50"/>
        <v>36.4</v>
      </c>
      <c r="DX185" s="12" t="str">
        <f t="shared" si="43"/>
        <v>0.0001-0.741667i</v>
      </c>
      <c r="DY185" s="13" t="str">
        <f t="shared" si="48"/>
        <v>0.000000001</v>
      </c>
      <c r="DZ185" s="13" t="str">
        <f t="shared" si="39"/>
        <v>0.010799+39.307172i</v>
      </c>
      <c r="EA185" s="14" t="str">
        <f t="shared" si="40"/>
        <v>5399336805.55556+0.0001i</v>
      </c>
      <c r="EC185" s="1" t="str">
        <f t="shared" si="49"/>
        <v>0.010799001+39.307172i</v>
      </c>
      <c r="ED185" s="1" t="str">
        <f t="shared" si="41"/>
        <v>58307443.558601+212232660501.903i</v>
      </c>
      <c r="EE185" s="1" t="str">
        <f t="shared" si="42"/>
        <v>5399336805.56636+39.307272i</v>
      </c>
      <c r="EF185" s="1" t="str">
        <f t="shared" si="44"/>
        <v>0.010799+39.307172i</v>
      </c>
      <c r="EG185" s="1" t="str">
        <f t="shared" si="45"/>
        <v>0.010899+38.565505i</v>
      </c>
      <c r="FN185" s="1">
        <f t="shared" si="46"/>
        <v>37</v>
      </c>
      <c r="FO185" s="1">
        <f t="shared" si="47"/>
        <v>39.225453514172465</v>
      </c>
    </row>
    <row r="186" spans="2:171" ht="18" customHeight="1" x14ac:dyDescent="0.25">
      <c r="B186" s="6"/>
      <c r="C186" s="90" t="s">
        <v>198</v>
      </c>
      <c r="D186" s="90"/>
      <c r="E186" s="90"/>
      <c r="F186" s="90"/>
      <c r="G186" s="90"/>
      <c r="H186" s="90"/>
      <c r="I186" s="90"/>
      <c r="J186" s="90"/>
      <c r="K186" s="90"/>
      <c r="L186" s="90"/>
      <c r="AP186" s="8"/>
      <c r="AR186" s="6"/>
      <c r="CF186" s="8"/>
      <c r="DW186" s="1">
        <f t="shared" si="50"/>
        <v>36.6</v>
      </c>
      <c r="DX186" s="12" t="str">
        <f t="shared" si="43"/>
        <v>0.0001-0.737614i</v>
      </c>
      <c r="DY186" s="13" t="str">
        <f t="shared" si="48"/>
        <v>0.000000001</v>
      </c>
      <c r="DZ186" s="13" t="str">
        <f t="shared" si="39"/>
        <v>0.010799+39.523145i</v>
      </c>
      <c r="EA186" s="14" t="str">
        <f t="shared" si="40"/>
        <v>5399336805.55556+0.0001i</v>
      </c>
      <c r="EC186" s="1" t="str">
        <f t="shared" si="49"/>
        <v>0.010799001+39.523145i</v>
      </c>
      <c r="ED186" s="1" t="str">
        <f t="shared" si="41"/>
        <v>58307443.558579+213398771469.809i</v>
      </c>
      <c r="EE186" s="1" t="str">
        <f t="shared" si="42"/>
        <v>5399336805.56636+39.523245i</v>
      </c>
      <c r="EF186" s="1" t="str">
        <f t="shared" si="44"/>
        <v>0.010799+39.523145i</v>
      </c>
      <c r="EG186" s="1" t="str">
        <f t="shared" si="45"/>
        <v>0.010899+38.785531i</v>
      </c>
      <c r="FN186" s="1">
        <f t="shared" si="46"/>
        <v>37.200000000000003</v>
      </c>
      <c r="FO186" s="1">
        <f t="shared" si="47"/>
        <v>39.445350505731369</v>
      </c>
    </row>
    <row r="187" spans="2:171" ht="18" customHeight="1" x14ac:dyDescent="0.25">
      <c r="B187" s="6"/>
      <c r="C187" s="90"/>
      <c r="D187" s="90"/>
      <c r="E187" s="90"/>
      <c r="F187" s="90"/>
      <c r="G187" s="90"/>
      <c r="H187" s="90"/>
      <c r="I187" s="90"/>
      <c r="J187" s="90"/>
      <c r="K187" s="90"/>
      <c r="L187" s="90"/>
      <c r="AP187" s="8"/>
      <c r="AR187" s="6"/>
      <c r="CF187" s="8"/>
      <c r="DW187" s="1">
        <f t="shared" si="50"/>
        <v>36.799999999999997</v>
      </c>
      <c r="DX187" s="12" t="str">
        <f t="shared" si="43"/>
        <v>0.0001-0.733606i</v>
      </c>
      <c r="DY187" s="13" t="str">
        <f t="shared" si="48"/>
        <v>0.000000001</v>
      </c>
      <c r="DZ187" s="13" t="str">
        <f t="shared" si="39"/>
        <v>0.010799+39.739119i</v>
      </c>
      <c r="EA187" s="14" t="str">
        <f t="shared" si="40"/>
        <v>5399336805.55556+0.0001i</v>
      </c>
      <c r="EC187" s="1" t="str">
        <f t="shared" si="49"/>
        <v>0.010799001+39.739119i</v>
      </c>
      <c r="ED187" s="1" t="str">
        <f t="shared" si="41"/>
        <v>58307443.558557+214564887837.052i</v>
      </c>
      <c r="EE187" s="1" t="str">
        <f t="shared" si="42"/>
        <v>5399336805.56636+39.739219i</v>
      </c>
      <c r="EF187" s="1" t="str">
        <f t="shared" si="44"/>
        <v>0.010799+39.739119i</v>
      </c>
      <c r="EG187" s="1" t="str">
        <f t="shared" si="45"/>
        <v>0.010899+39.005513i</v>
      </c>
      <c r="FN187" s="1">
        <f t="shared" si="46"/>
        <v>37.4</v>
      </c>
      <c r="FO187" s="1">
        <f t="shared" si="47"/>
        <v>39.665204497385481</v>
      </c>
    </row>
    <row r="188" spans="2:171" ht="18" customHeight="1" x14ac:dyDescent="0.25">
      <c r="B188" s="6"/>
      <c r="C188" s="90"/>
      <c r="D188" s="90"/>
      <c r="E188" s="90"/>
      <c r="F188" s="90"/>
      <c r="G188" s="90"/>
      <c r="H188" s="90"/>
      <c r="I188" s="90"/>
      <c r="J188" s="90"/>
      <c r="K188" s="90"/>
      <c r="L188" s="90"/>
      <c r="AP188" s="8"/>
      <c r="AR188" s="6"/>
      <c r="CF188" s="8"/>
      <c r="DW188" s="1">
        <f t="shared" si="50"/>
        <v>37</v>
      </c>
      <c r="DX188" s="12" t="str">
        <f t="shared" si="43"/>
        <v>0.0001-0.72964i</v>
      </c>
      <c r="DY188" s="13" t="str">
        <f t="shared" si="48"/>
        <v>0.000000001</v>
      </c>
      <c r="DZ188" s="13" t="str">
        <f t="shared" si="39"/>
        <v>0.010799+39.955092i</v>
      </c>
      <c r="EA188" s="14" t="str">
        <f t="shared" si="40"/>
        <v>5399336805.55556+0.0001i</v>
      </c>
      <c r="EC188" s="1" t="str">
        <f t="shared" si="49"/>
        <v>0.010799001+39.955092i</v>
      </c>
      <c r="ED188" s="1" t="str">
        <f t="shared" si="41"/>
        <v>58307443.558536+215730998804.959i</v>
      </c>
      <c r="EE188" s="1" t="str">
        <f t="shared" si="42"/>
        <v>5399336805.56636+39.955192i</v>
      </c>
      <c r="EF188" s="1" t="str">
        <f t="shared" si="44"/>
        <v>0.010799+39.955092i</v>
      </c>
      <c r="EG188" s="1" t="str">
        <f t="shared" si="45"/>
        <v>0.010899+39.225452i</v>
      </c>
      <c r="FN188" s="1">
        <f t="shared" si="46"/>
        <v>37.6</v>
      </c>
      <c r="FO188" s="1">
        <f t="shared" si="47"/>
        <v>39.885017489133148</v>
      </c>
    </row>
    <row r="189" spans="2:171" ht="18" customHeight="1" x14ac:dyDescent="0.25">
      <c r="B189" s="6"/>
      <c r="AP189" s="8"/>
      <c r="AR189" s="6"/>
      <c r="CF189" s="8"/>
      <c r="DW189" s="1">
        <f t="shared" si="50"/>
        <v>37.200000000000003</v>
      </c>
      <c r="DX189" s="12" t="str">
        <f t="shared" si="43"/>
        <v>0.0001-0.725717i</v>
      </c>
      <c r="DY189" s="13" t="str">
        <f t="shared" si="48"/>
        <v>0.000000001</v>
      </c>
      <c r="DZ189" s="13" t="str">
        <f t="shared" si="39"/>
        <v>0.010799+40.171066i</v>
      </c>
      <c r="EA189" s="14" t="str">
        <f t="shared" si="40"/>
        <v>5399336805.55556+0.0001i</v>
      </c>
      <c r="EC189" s="1" t="str">
        <f t="shared" si="49"/>
        <v>0.010799001+40.171066i</v>
      </c>
      <c r="ED189" s="1" t="str">
        <f t="shared" si="41"/>
        <v>58307443.558514+216897115172.202i</v>
      </c>
      <c r="EE189" s="1" t="str">
        <f t="shared" si="42"/>
        <v>5399336805.56636+40.171166i</v>
      </c>
      <c r="EF189" s="1" t="str">
        <f t="shared" si="44"/>
        <v>0.010799+40.171066i</v>
      </c>
      <c r="EG189" s="1" t="str">
        <f t="shared" si="45"/>
        <v>0.010899+39.445349i</v>
      </c>
      <c r="FN189" s="1">
        <f t="shared" si="46"/>
        <v>37.799999999999997</v>
      </c>
      <c r="FO189" s="1">
        <f t="shared" si="47"/>
        <v>40.104789480972777</v>
      </c>
    </row>
    <row r="190" spans="2:171" ht="18" customHeight="1" x14ac:dyDescent="0.25">
      <c r="B190" s="6"/>
      <c r="AP190" s="8"/>
      <c r="AR190" s="6"/>
      <c r="CF190" s="8"/>
      <c r="DW190" s="1">
        <f t="shared" si="50"/>
        <v>37.4</v>
      </c>
      <c r="DX190" s="12" t="str">
        <f t="shared" si="43"/>
        <v>0.0001-0.721836i</v>
      </c>
      <c r="DY190" s="13" t="str">
        <f t="shared" si="48"/>
        <v>0.000000001</v>
      </c>
      <c r="DZ190" s="13" t="str">
        <f t="shared" si="39"/>
        <v>0.010799+40.387039i</v>
      </c>
      <c r="EA190" s="14" t="str">
        <f t="shared" si="40"/>
        <v>5399336805.55556+0.0001i</v>
      </c>
      <c r="EC190" s="1" t="str">
        <f t="shared" si="49"/>
        <v>0.010799001+40.387039i</v>
      </c>
      <c r="ED190" s="1" t="str">
        <f t="shared" si="41"/>
        <v>58307443.558493+218063226140.108i</v>
      </c>
      <c r="EE190" s="1" t="str">
        <f t="shared" si="42"/>
        <v>5399336805.56636+40.387139i</v>
      </c>
      <c r="EF190" s="1" t="str">
        <f t="shared" si="44"/>
        <v>0.010799+40.387039i</v>
      </c>
      <c r="EG190" s="1" t="str">
        <f t="shared" si="45"/>
        <v>0.010899+39.665203i</v>
      </c>
      <c r="FN190" s="1">
        <f t="shared" si="46"/>
        <v>38</v>
      </c>
      <c r="FO190" s="1">
        <f t="shared" si="47"/>
        <v>40.324522472902778</v>
      </c>
    </row>
    <row r="191" spans="2:171" ht="18" customHeight="1" x14ac:dyDescent="0.25">
      <c r="B191" s="6"/>
      <c r="AP191" s="8"/>
      <c r="AR191" s="6"/>
      <c r="CF191" s="8"/>
      <c r="DW191" s="1">
        <f t="shared" si="50"/>
        <v>37.6</v>
      </c>
      <c r="DX191" s="12" t="str">
        <f t="shared" si="43"/>
        <v>0.0001-0.717997i</v>
      </c>
      <c r="DY191" s="13" t="str">
        <f t="shared" si="48"/>
        <v>0.000000001</v>
      </c>
      <c r="DZ191" s="13" t="str">
        <f t="shared" si="39"/>
        <v>0.010799+40.603013i</v>
      </c>
      <c r="EA191" s="14" t="str">
        <f t="shared" si="40"/>
        <v>5399336805.55556+0.0001i</v>
      </c>
      <c r="EC191" s="1" t="str">
        <f t="shared" si="49"/>
        <v>0.010799001+40.603013i</v>
      </c>
      <c r="ED191" s="1" t="str">
        <f t="shared" si="41"/>
        <v>58307443.558471+219229342507.351i</v>
      </c>
      <c r="EE191" s="1" t="str">
        <f t="shared" si="42"/>
        <v>5399336805.56636+40.603113i</v>
      </c>
      <c r="EF191" s="1" t="str">
        <f t="shared" si="44"/>
        <v>0.010799+40.603013i</v>
      </c>
      <c r="EG191" s="1" t="str">
        <f t="shared" si="45"/>
        <v>0.010899+39.885016i</v>
      </c>
      <c r="FN191" s="1">
        <f t="shared" si="46"/>
        <v>38.200000000000003</v>
      </c>
      <c r="FO191" s="1">
        <f t="shared" si="47"/>
        <v>40.544215464921706</v>
      </c>
    </row>
    <row r="192" spans="2:171" ht="18" customHeight="1" x14ac:dyDescent="0.25">
      <c r="B192" s="6"/>
      <c r="AP192" s="8"/>
      <c r="AR192" s="6"/>
      <c r="CF192" s="8"/>
      <c r="DW192" s="1">
        <f t="shared" si="50"/>
        <v>37.799999999999997</v>
      </c>
      <c r="DX192" s="12" t="str">
        <f t="shared" si="43"/>
        <v>0.0001-0.714198i</v>
      </c>
      <c r="DY192" s="13" t="str">
        <f t="shared" si="48"/>
        <v>0.000000001</v>
      </c>
      <c r="DZ192" s="13" t="str">
        <f t="shared" si="39"/>
        <v>0.010799+40.818986i</v>
      </c>
      <c r="EA192" s="14" t="str">
        <f t="shared" si="40"/>
        <v>5399336805.55556+0.0001i</v>
      </c>
      <c r="EC192" s="1" t="str">
        <f t="shared" si="49"/>
        <v>0.010799001+40.818986i</v>
      </c>
      <c r="ED192" s="1" t="str">
        <f t="shared" si="41"/>
        <v>58307443.558449+220395453475.257i</v>
      </c>
      <c r="EE192" s="1" t="str">
        <f t="shared" si="42"/>
        <v>5399336805.56636+40.819086i</v>
      </c>
      <c r="EF192" s="1" t="str">
        <f t="shared" si="44"/>
        <v>0.010799+40.818986i</v>
      </c>
      <c r="EG192" s="1" t="str">
        <f t="shared" si="45"/>
        <v>0.010899+40.104788i</v>
      </c>
      <c r="FN192" s="1">
        <f t="shared" si="46"/>
        <v>38.4</v>
      </c>
      <c r="FO192" s="1">
        <f t="shared" si="47"/>
        <v>40.763869457028065</v>
      </c>
    </row>
    <row r="193" spans="2:171" ht="18" customHeight="1" x14ac:dyDescent="0.25">
      <c r="B193" s="6"/>
      <c r="AP193" s="8"/>
      <c r="AR193" s="6"/>
      <c r="CF193" s="8"/>
      <c r="DW193" s="1">
        <f t="shared" si="50"/>
        <v>38</v>
      </c>
      <c r="DX193" s="12" t="str">
        <f t="shared" si="43"/>
        <v>0.0001-0.710439i</v>
      </c>
      <c r="DY193" s="13" t="str">
        <f t="shared" si="48"/>
        <v>0.000000001</v>
      </c>
      <c r="DZ193" s="13" t="str">
        <f t="shared" si="39"/>
        <v>0.010799+41.03496i</v>
      </c>
      <c r="EA193" s="14" t="str">
        <f t="shared" si="40"/>
        <v>5399336805.55556+0.0001i</v>
      </c>
      <c r="EC193" s="1" t="str">
        <f t="shared" si="49"/>
        <v>0.010799001+41.03496i</v>
      </c>
      <c r="ED193" s="1" t="str">
        <f t="shared" si="41"/>
        <v>58307443.558428+221561569842.5i</v>
      </c>
      <c r="EE193" s="1" t="str">
        <f t="shared" si="42"/>
        <v>5399336805.56636+41.03506i</v>
      </c>
      <c r="EF193" s="1" t="str">
        <f t="shared" si="44"/>
        <v>0.010799+41.03496i</v>
      </c>
      <c r="EG193" s="1" t="str">
        <f t="shared" si="45"/>
        <v>0.010899+40.324521i</v>
      </c>
      <c r="FN193" s="1">
        <f t="shared" si="46"/>
        <v>38.6</v>
      </c>
      <c r="FO193" s="1">
        <f t="shared" si="47"/>
        <v>40.983485449220353</v>
      </c>
    </row>
    <row r="194" spans="2:171" ht="18" customHeight="1" thickBot="1" x14ac:dyDescent="0.3">
      <c r="B194" s="6"/>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1"/>
      <c r="AO194" s="10"/>
      <c r="AP194" s="8"/>
      <c r="AR194" s="6"/>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1"/>
      <c r="CE194" s="10"/>
      <c r="CF194" s="8"/>
      <c r="DW194" s="1">
        <f t="shared" si="50"/>
        <v>38.200000000000003</v>
      </c>
      <c r="DX194" s="12" t="str">
        <f t="shared" si="43"/>
        <v>0.0001-0.706719i</v>
      </c>
      <c r="DY194" s="13" t="str">
        <f t="shared" si="48"/>
        <v>0.000000001</v>
      </c>
      <c r="DZ194" s="13" t="str">
        <f t="shared" si="39"/>
        <v>0.010799+41.250933i</v>
      </c>
      <c r="EA194" s="14" t="str">
        <f t="shared" si="40"/>
        <v>5399336805.55556+0.0001i</v>
      </c>
      <c r="EC194" s="1" t="str">
        <f t="shared" si="49"/>
        <v>0.010799001+41.250933i</v>
      </c>
      <c r="ED194" s="1" t="str">
        <f t="shared" si="41"/>
        <v>58307443.558406+222727680810.406i</v>
      </c>
      <c r="EE194" s="1" t="str">
        <f t="shared" si="42"/>
        <v>5399336805.56636+41.251033i</v>
      </c>
      <c r="EF194" s="1" t="str">
        <f t="shared" si="44"/>
        <v>0.010799+41.250933i</v>
      </c>
      <c r="EG194" s="1" t="str">
        <f t="shared" si="45"/>
        <v>0.010899+40.544214i</v>
      </c>
      <c r="FN194" s="1">
        <f t="shared" si="46"/>
        <v>38.799999999999997</v>
      </c>
      <c r="FO194" s="1">
        <f t="shared" si="47"/>
        <v>41.20306444149719</v>
      </c>
    </row>
    <row r="195" spans="2:171" ht="18" customHeight="1" x14ac:dyDescent="0.25">
      <c r="B195" s="6"/>
      <c r="D195" s="44" t="s">
        <v>94</v>
      </c>
      <c r="AO195" s="29" t="s">
        <v>199</v>
      </c>
      <c r="AP195" s="8"/>
      <c r="AR195" s="6"/>
      <c r="AT195" s="44" t="s">
        <v>94</v>
      </c>
      <c r="CE195" s="29" t="s">
        <v>200</v>
      </c>
      <c r="CF195" s="8"/>
      <c r="DW195" s="1">
        <f t="shared" si="50"/>
        <v>38.4</v>
      </c>
      <c r="DX195" s="12" t="str">
        <f t="shared" si="43"/>
        <v>0.0001-0.703039i</v>
      </c>
      <c r="DY195" s="13" t="str">
        <f t="shared" si="48"/>
        <v>0.000000001</v>
      </c>
      <c r="DZ195" s="13" t="str">
        <f t="shared" si="39"/>
        <v>0.010799+41.466907i</v>
      </c>
      <c r="EA195" s="14" t="str">
        <f t="shared" si="40"/>
        <v>5399336805.55556+0.0001i</v>
      </c>
      <c r="EC195" s="1" t="str">
        <f t="shared" si="49"/>
        <v>0.010799001+41.466907i</v>
      </c>
      <c r="ED195" s="1" t="str">
        <f t="shared" si="41"/>
        <v>58307443.558385+223893797177.649i</v>
      </c>
      <c r="EE195" s="1" t="str">
        <f t="shared" si="42"/>
        <v>5399336805.56636+41.467007i</v>
      </c>
      <c r="EF195" s="1" t="str">
        <f t="shared" si="44"/>
        <v>0.010799+41.466907i</v>
      </c>
      <c r="EG195" s="1" t="str">
        <f t="shared" si="45"/>
        <v>0.010899+40.763868i</v>
      </c>
      <c r="FN195" s="1">
        <f t="shared" si="46"/>
        <v>39</v>
      </c>
      <c r="FO195" s="1">
        <f t="shared" si="47"/>
        <v>41.422605433857214</v>
      </c>
    </row>
    <row r="196" spans="2:171" ht="18" customHeight="1" x14ac:dyDescent="0.25">
      <c r="B196" s="46"/>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8"/>
      <c r="AR196" s="46"/>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8"/>
      <c r="DW196" s="1">
        <f t="shared" si="50"/>
        <v>38.6</v>
      </c>
      <c r="DX196" s="12" t="str">
        <f t="shared" si="43"/>
        <v>0.0001-0.699396i</v>
      </c>
      <c r="DY196" s="13" t="str">
        <f t="shared" si="48"/>
        <v>0.000000001</v>
      </c>
      <c r="DZ196" s="13" t="str">
        <f t="shared" si="39"/>
        <v>0.010799+41.68288i</v>
      </c>
      <c r="EA196" s="14" t="str">
        <f t="shared" si="40"/>
        <v>5399336805.55556+0.0001i</v>
      </c>
      <c r="EC196" s="1" t="str">
        <f t="shared" si="49"/>
        <v>0.010799001+41.68288i</v>
      </c>
      <c r="ED196" s="1" t="str">
        <f t="shared" si="41"/>
        <v>58307443.558363+225059908145.556i</v>
      </c>
      <c r="EE196" s="1" t="str">
        <f t="shared" si="42"/>
        <v>5399336805.56636+41.68298i</v>
      </c>
      <c r="EF196" s="1" t="str">
        <f t="shared" si="44"/>
        <v>0.010799+41.68288i</v>
      </c>
      <c r="EG196" s="1" t="str">
        <f t="shared" si="45"/>
        <v>0.010899+40.983484i</v>
      </c>
      <c r="FN196" s="1">
        <f t="shared" si="46"/>
        <v>39.200000000000003</v>
      </c>
      <c r="FO196" s="1">
        <f t="shared" si="47"/>
        <v>41.642111426298996</v>
      </c>
    </row>
    <row r="197" spans="2:171" ht="18" customHeight="1" x14ac:dyDescent="0.25">
      <c r="DW197" s="1">
        <f t="shared" si="50"/>
        <v>38.799999999999997</v>
      </c>
      <c r="DX197" s="12" t="str">
        <f t="shared" si="43"/>
        <v>0.0001-0.695791i</v>
      </c>
      <c r="DY197" s="13" t="str">
        <f t="shared" si="48"/>
        <v>0.000000001</v>
      </c>
      <c r="DZ197" s="13" t="str">
        <f t="shared" si="39"/>
        <v>0.010799+41.898854i</v>
      </c>
      <c r="EA197" s="14" t="str">
        <f t="shared" si="40"/>
        <v>5399336805.55556+0.0001i</v>
      </c>
      <c r="EC197" s="1" t="str">
        <f t="shared" si="49"/>
        <v>0.010799001+41.898854i</v>
      </c>
      <c r="ED197" s="1" t="str">
        <f t="shared" si="41"/>
        <v>58307443.558341+226226024512.799i</v>
      </c>
      <c r="EE197" s="1" t="str">
        <f t="shared" si="42"/>
        <v>5399336805.56636+41.898954i</v>
      </c>
      <c r="EF197" s="1" t="str">
        <f t="shared" si="44"/>
        <v>0.010799+41.898854i</v>
      </c>
      <c r="EG197" s="1" t="str">
        <f t="shared" si="45"/>
        <v>0.010899+41.203063i</v>
      </c>
      <c r="FN197" s="1">
        <f t="shared" si="46"/>
        <v>39.4</v>
      </c>
      <c r="FO197" s="1">
        <f t="shared" si="47"/>
        <v>41.861580418821291</v>
      </c>
    </row>
    <row r="198" spans="2:171" ht="18" customHeight="1" x14ac:dyDescent="0.25">
      <c r="DW198" s="1">
        <f t="shared" si="50"/>
        <v>39</v>
      </c>
      <c r="DX198" s="12" t="str">
        <f t="shared" si="43"/>
        <v>0.0001-0.692223i</v>
      </c>
      <c r="DY198" s="13" t="str">
        <f t="shared" si="48"/>
        <v>0.000000001</v>
      </c>
      <c r="DZ198" s="13" t="str">
        <f t="shared" ref="DZ198:DZ253" si="51">COMPLEX(IF(ABS($AJ$34/$S$34)&lt;0.0000005,0,ROUND($AJ$34/$S$34,6)),IF(ABS($AJ$34*DW198)&lt;0.0000005,0,ROUND($AJ$34*DW198,6)))</f>
        <v>0.010799+42.114827i</v>
      </c>
      <c r="EA198" s="14" t="str">
        <f t="shared" ref="EA198:EA253" si="52">COMPLEX(ROUND($IJ$37,6),ROUND(0.0001,6))</f>
        <v>5399336805.55556+0.0001i</v>
      </c>
      <c r="EC198" s="1" t="str">
        <f t="shared" si="49"/>
        <v>0.010799001+42.114827i</v>
      </c>
      <c r="ED198" s="1" t="str">
        <f t="shared" ref="ED198:ED253" si="53">COMPLEX(ROUND(IMREAL(IMPRODUCT(EC198,EA198)),6),ROUND(IMAGINARY(IMPRODUCT(EC198,EA198)),6))</f>
        <v>58307443.55832+227392135480.705i</v>
      </c>
      <c r="EE198" s="1" t="str">
        <f t="shared" ref="EE198:EE253" si="54">COMPLEX(ROUND(IMREAL(IMSUM(EA198,EC198)),6),ROUND(IMAGINARY(IMSUM(EA198,EC198)),6))</f>
        <v>5399336805.56636+42.114927i</v>
      </c>
      <c r="EF198" s="1" t="str">
        <f t="shared" si="44"/>
        <v>0.010799+42.114827i</v>
      </c>
      <c r="EG198" s="1" t="str">
        <f t="shared" si="45"/>
        <v>0.010899+41.422604i</v>
      </c>
      <c r="FN198" s="1">
        <f t="shared" si="46"/>
        <v>39.6</v>
      </c>
      <c r="FO198" s="1">
        <f t="shared" si="47"/>
        <v>42.081015411422726</v>
      </c>
    </row>
    <row r="199" spans="2:171" x14ac:dyDescent="0.25">
      <c r="DW199" s="1">
        <f t="shared" si="50"/>
        <v>39.200000000000003</v>
      </c>
      <c r="DX199" s="12" t="str">
        <f t="shared" ref="DX199:DX253" si="55">COMPLEX(ROUND(0.0001,6),ROUND(-$AJ$30/DW199,6))</f>
        <v>0.0001-0.688691i</v>
      </c>
      <c r="DY199" s="13" t="str">
        <f t="shared" si="48"/>
        <v>0.000000001</v>
      </c>
      <c r="DZ199" s="13" t="str">
        <f t="shared" si="51"/>
        <v>0.010799+42.330801i</v>
      </c>
      <c r="EA199" s="14" t="str">
        <f t="shared" si="52"/>
        <v>5399336805.55556+0.0001i</v>
      </c>
      <c r="EC199" s="1" t="str">
        <f t="shared" si="49"/>
        <v>0.010799001+42.330801i</v>
      </c>
      <c r="ED199" s="1" t="str">
        <f t="shared" si="53"/>
        <v>58307443.558298+228558251847.948i</v>
      </c>
      <c r="EE199" s="1" t="str">
        <f t="shared" si="54"/>
        <v>5399336805.56636+42.330901i</v>
      </c>
      <c r="EF199" s="1" t="str">
        <f t="shared" ref="EF199:EF253" si="56">COMPLEX(ROUND(IMREAL(IMDIV(ED199,EE199)),6),ROUND(IMAGINARY(IMDIV(ED199,EE199)),6))</f>
        <v>0.010799+42.330801i</v>
      </c>
      <c r="EG199" s="1" t="str">
        <f t="shared" ref="EG199:EG253" si="57">COMPLEX(ROUND(IMREAL(IMSUM(EF199,DX199)),6),ROUND(IMAGINARY(IMSUM(EF199,DX199)),6))</f>
        <v>0.010899+41.64211i</v>
      </c>
      <c r="FN199" s="1">
        <f t="shared" si="46"/>
        <v>39.799999999999997</v>
      </c>
      <c r="FO199" s="1">
        <f t="shared" si="47"/>
        <v>42.300413404102152</v>
      </c>
    </row>
    <row r="200" spans="2:171" x14ac:dyDescent="0.25">
      <c r="DW200" s="1">
        <f t="shared" si="50"/>
        <v>39.4</v>
      </c>
      <c r="DX200" s="12" t="str">
        <f t="shared" si="55"/>
        <v>0.0001-0.685195i</v>
      </c>
      <c r="DY200" s="13" t="str">
        <f t="shared" si="48"/>
        <v>0.000000001</v>
      </c>
      <c r="DZ200" s="13" t="str">
        <f t="shared" si="51"/>
        <v>0.010799+42.546774i</v>
      </c>
      <c r="EA200" s="14" t="str">
        <f t="shared" si="52"/>
        <v>5399336805.55556+0.0001i</v>
      </c>
      <c r="EC200" s="1" t="str">
        <f t="shared" si="49"/>
        <v>0.010799001+42.546774i</v>
      </c>
      <c r="ED200" s="1" t="str">
        <f t="shared" si="53"/>
        <v>58307443.558277+229724362815.854i</v>
      </c>
      <c r="EE200" s="1" t="str">
        <f t="shared" si="54"/>
        <v>5399336805.56636+42.546874i</v>
      </c>
      <c r="EF200" s="1" t="str">
        <f t="shared" si="56"/>
        <v>0.010799+42.546774i</v>
      </c>
      <c r="EG200" s="1" t="str">
        <f t="shared" si="57"/>
        <v>0.010899+41.861579i</v>
      </c>
      <c r="FN200" s="1">
        <f t="shared" si="46"/>
        <v>40</v>
      </c>
      <c r="FO200" s="1">
        <f t="shared" si="47"/>
        <v>42.519778396858214</v>
      </c>
    </row>
    <row r="201" spans="2:171" x14ac:dyDescent="0.25">
      <c r="DW201" s="1">
        <f t="shared" si="50"/>
        <v>39.6</v>
      </c>
      <c r="DX201" s="12" t="str">
        <f t="shared" si="55"/>
        <v>0.0001-0.681734i</v>
      </c>
      <c r="DY201" s="13" t="str">
        <f t="shared" si="48"/>
        <v>0.000000001</v>
      </c>
      <c r="DZ201" s="13" t="str">
        <f t="shared" si="51"/>
        <v>0.010799+42.762748i</v>
      </c>
      <c r="EA201" s="14" t="str">
        <f t="shared" si="52"/>
        <v>5399336805.55556+0.0001i</v>
      </c>
      <c r="EC201" s="1" t="str">
        <f t="shared" si="49"/>
        <v>0.010799001+42.762748i</v>
      </c>
      <c r="ED201" s="1" t="str">
        <f t="shared" si="53"/>
        <v>58307443.558255+230890479183.097i</v>
      </c>
      <c r="EE201" s="1" t="str">
        <f t="shared" si="54"/>
        <v>5399336805.56636+42.762848i</v>
      </c>
      <c r="EF201" s="1" t="str">
        <f t="shared" si="56"/>
        <v>0.010799+42.762748i</v>
      </c>
      <c r="EG201" s="1" t="str">
        <f t="shared" si="57"/>
        <v>0.010899+42.081014i</v>
      </c>
      <c r="FN201" s="1">
        <f t="shared" si="46"/>
        <v>40.200000000000003</v>
      </c>
      <c r="FO201" s="1">
        <f t="shared" si="47"/>
        <v>42.739110389689699</v>
      </c>
    </row>
    <row r="202" spans="2:171" x14ac:dyDescent="0.25">
      <c r="DW202" s="1">
        <f t="shared" si="50"/>
        <v>39.799999999999997</v>
      </c>
      <c r="DX202" s="12" t="str">
        <f t="shared" si="55"/>
        <v>0.0001-0.678309i</v>
      </c>
      <c r="DY202" s="13" t="str">
        <f t="shared" si="48"/>
        <v>0.000000001</v>
      </c>
      <c r="DZ202" s="13" t="str">
        <f t="shared" si="51"/>
        <v>0.010799+42.978721i</v>
      </c>
      <c r="EA202" s="14" t="str">
        <f t="shared" si="52"/>
        <v>5399336805.55556+0.0001i</v>
      </c>
      <c r="EC202" s="1" t="str">
        <f t="shared" si="49"/>
        <v>0.010799001+42.978721i</v>
      </c>
      <c r="ED202" s="1" t="str">
        <f t="shared" si="53"/>
        <v>58307443.558233+232056590151.004i</v>
      </c>
      <c r="EE202" s="1" t="str">
        <f t="shared" si="54"/>
        <v>5399336805.56636+42.978821i</v>
      </c>
      <c r="EF202" s="1" t="str">
        <f t="shared" si="56"/>
        <v>0.010799+42.978721i</v>
      </c>
      <c r="EG202" s="1" t="str">
        <f t="shared" si="57"/>
        <v>0.010899+42.300412i</v>
      </c>
      <c r="FN202" s="1">
        <f t="shared" si="46"/>
        <v>40.4</v>
      </c>
      <c r="FO202" s="1">
        <f t="shared" si="47"/>
        <v>42.958407382595517</v>
      </c>
    </row>
    <row r="203" spans="2:171" x14ac:dyDescent="0.25">
      <c r="DW203" s="1">
        <f t="shared" si="50"/>
        <v>40</v>
      </c>
      <c r="DX203" s="12" t="str">
        <f t="shared" si="55"/>
        <v>0.0001-0.674917i</v>
      </c>
      <c r="DY203" s="13" t="str">
        <f t="shared" si="48"/>
        <v>0.000000001</v>
      </c>
      <c r="DZ203" s="13" t="str">
        <f t="shared" si="51"/>
        <v>0.010799+43.194694i</v>
      </c>
      <c r="EA203" s="14" t="str">
        <f t="shared" si="52"/>
        <v>5399336805.55556+0.0001i</v>
      </c>
      <c r="EC203" s="1" t="str">
        <f t="shared" si="49"/>
        <v>0.010799001+43.194694i</v>
      </c>
      <c r="ED203" s="1" t="str">
        <f t="shared" si="53"/>
        <v>58307443.558212+233222701118.91i</v>
      </c>
      <c r="EE203" s="1" t="str">
        <f t="shared" si="54"/>
        <v>5399336805.56636+43.194794i</v>
      </c>
      <c r="EF203" s="1" t="str">
        <f t="shared" si="56"/>
        <v>0.010799+43.194694i</v>
      </c>
      <c r="EG203" s="1" t="str">
        <f t="shared" si="57"/>
        <v>0.010899+42.519777i</v>
      </c>
      <c r="FN203" s="1">
        <f t="shared" si="46"/>
        <v>40.6</v>
      </c>
      <c r="FO203" s="1">
        <f t="shared" si="47"/>
        <v>43.177673375574379</v>
      </c>
    </row>
    <row r="204" spans="2:171" x14ac:dyDescent="0.25">
      <c r="DW204" s="1">
        <f t="shared" si="50"/>
        <v>40.200000000000003</v>
      </c>
      <c r="DX204" s="12" t="str">
        <f t="shared" si="55"/>
        <v>0.0001-0.671559i</v>
      </c>
      <c r="DY204" s="13" t="str">
        <f t="shared" si="48"/>
        <v>0.000000001</v>
      </c>
      <c r="DZ204" s="13" t="str">
        <f t="shared" si="51"/>
        <v>0.010799+43.410668i</v>
      </c>
      <c r="EA204" s="14" t="str">
        <f t="shared" si="52"/>
        <v>5399336805.55556+0.0001i</v>
      </c>
      <c r="EC204" s="1" t="str">
        <f t="shared" si="49"/>
        <v>0.010799001+43.410668i</v>
      </c>
      <c r="ED204" s="1" t="str">
        <f t="shared" si="53"/>
        <v>58307443.55819+234388817486.153i</v>
      </c>
      <c r="EE204" s="1" t="str">
        <f t="shared" si="54"/>
        <v>5399336805.56636+43.410768i</v>
      </c>
      <c r="EF204" s="1" t="str">
        <f t="shared" si="56"/>
        <v>0.010799+43.410668i</v>
      </c>
      <c r="EG204" s="1" t="str">
        <f t="shared" si="57"/>
        <v>0.010899+42.739109i</v>
      </c>
      <c r="FN204" s="1">
        <f t="shared" si="46"/>
        <v>40.799999999999997</v>
      </c>
      <c r="FO204" s="1">
        <f t="shared" si="47"/>
        <v>43.396906368625238</v>
      </c>
    </row>
    <row r="205" spans="2:171" x14ac:dyDescent="0.25">
      <c r="DW205" s="1">
        <f t="shared" si="50"/>
        <v>40.4</v>
      </c>
      <c r="DX205" s="12" t="str">
        <f t="shared" si="55"/>
        <v>0.0001-0.668235i</v>
      </c>
      <c r="DY205" s="13" t="str">
        <f t="shared" si="48"/>
        <v>0.000000001</v>
      </c>
      <c r="DZ205" s="13" t="str">
        <f t="shared" si="51"/>
        <v>0.010799+43.626641i</v>
      </c>
      <c r="EA205" s="14" t="str">
        <f t="shared" si="52"/>
        <v>5399336805.55556+0.0001i</v>
      </c>
      <c r="EC205" s="1" t="str">
        <f t="shared" si="49"/>
        <v>0.010799001+43.626641i</v>
      </c>
      <c r="ED205" s="1" t="str">
        <f t="shared" si="53"/>
        <v>58307443.558169+235554928454.059i</v>
      </c>
      <c r="EE205" s="1" t="str">
        <f t="shared" si="54"/>
        <v>5399336805.56636+43.626741i</v>
      </c>
      <c r="EF205" s="1" t="str">
        <f t="shared" si="56"/>
        <v>0.010799+43.626641i</v>
      </c>
      <c r="EG205" s="1" t="str">
        <f t="shared" si="57"/>
        <v>0.010899+42.958406i</v>
      </c>
      <c r="FN205" s="1">
        <f t="shared" si="46"/>
        <v>41</v>
      </c>
      <c r="FO205" s="1">
        <f t="shared" si="47"/>
        <v>43.616107361746963</v>
      </c>
    </row>
    <row r="206" spans="2:171" x14ac:dyDescent="0.25">
      <c r="DW206" s="1">
        <f t="shared" si="50"/>
        <v>40.6</v>
      </c>
      <c r="DX206" s="12" t="str">
        <f t="shared" si="55"/>
        <v>0.0001-0.664943i</v>
      </c>
      <c r="DY206" s="13" t="str">
        <f t="shared" si="48"/>
        <v>0.000000001</v>
      </c>
      <c r="DZ206" s="13" t="str">
        <f t="shared" si="51"/>
        <v>0.010799+43.842615i</v>
      </c>
      <c r="EA206" s="14" t="str">
        <f t="shared" si="52"/>
        <v>5399336805.55556+0.0001i</v>
      </c>
      <c r="EC206" s="1" t="str">
        <f t="shared" si="49"/>
        <v>0.010799001+43.842615i</v>
      </c>
      <c r="ED206" s="1" t="str">
        <f t="shared" si="53"/>
        <v>58307443.558147+236721044821.302i</v>
      </c>
      <c r="EE206" s="1" t="str">
        <f t="shared" si="54"/>
        <v>5399336805.56636+43.842715i</v>
      </c>
      <c r="EF206" s="1" t="str">
        <f t="shared" si="56"/>
        <v>0.010799+43.842615i</v>
      </c>
      <c r="EG206" s="1" t="str">
        <f t="shared" si="57"/>
        <v>0.010899+43.177672i</v>
      </c>
      <c r="FN206" s="1">
        <f t="shared" si="46"/>
        <v>41.2</v>
      </c>
      <c r="FO206" s="1">
        <f t="shared" si="47"/>
        <v>43.83527735493842</v>
      </c>
    </row>
    <row r="207" spans="2:171" x14ac:dyDescent="0.25">
      <c r="DW207" s="1">
        <f t="shared" si="50"/>
        <v>40.799999999999997</v>
      </c>
      <c r="DX207" s="12" t="str">
        <f t="shared" si="55"/>
        <v>0.0001-0.661683i</v>
      </c>
      <c r="DY207" s="13" t="str">
        <f t="shared" si="48"/>
        <v>0.000000001</v>
      </c>
      <c r="DZ207" s="13" t="str">
        <f t="shared" si="51"/>
        <v>0.010799+44.058588i</v>
      </c>
      <c r="EA207" s="14" t="str">
        <f t="shared" si="52"/>
        <v>5399336805.55556+0.0001i</v>
      </c>
      <c r="EC207" s="1" t="str">
        <f t="shared" si="49"/>
        <v>0.010799001+44.058588i</v>
      </c>
      <c r="ED207" s="1" t="str">
        <f t="shared" si="53"/>
        <v>58307443.558125+237887155789.209i</v>
      </c>
      <c r="EE207" s="1" t="str">
        <f t="shared" si="54"/>
        <v>5399336805.56636+44.058688i</v>
      </c>
      <c r="EF207" s="1" t="str">
        <f t="shared" si="56"/>
        <v>0.010799+44.058588i</v>
      </c>
      <c r="EG207" s="1" t="str">
        <f t="shared" si="57"/>
        <v>0.010899+43.396905i</v>
      </c>
      <c r="FN207" s="1">
        <f t="shared" si="46"/>
        <v>41.4</v>
      </c>
      <c r="FO207" s="1">
        <f t="shared" si="47"/>
        <v>44.054416348198579</v>
      </c>
    </row>
    <row r="208" spans="2:171" x14ac:dyDescent="0.25">
      <c r="DW208" s="1">
        <f t="shared" si="50"/>
        <v>41</v>
      </c>
      <c r="DX208" s="12" t="str">
        <f t="shared" si="55"/>
        <v>0.0001-0.658456i</v>
      </c>
      <c r="DY208" s="13" t="str">
        <f t="shared" si="48"/>
        <v>0.000000001</v>
      </c>
      <c r="DZ208" s="13" t="str">
        <f t="shared" si="51"/>
        <v>0.010799+44.274562i</v>
      </c>
      <c r="EA208" s="14" t="str">
        <f t="shared" si="52"/>
        <v>5399336805.55556+0.0001i</v>
      </c>
      <c r="EC208" s="1" t="str">
        <f t="shared" si="49"/>
        <v>0.010799001+44.274562i</v>
      </c>
      <c r="ED208" s="1" t="str">
        <f t="shared" si="53"/>
        <v>58307443.558104+239053272156.452i</v>
      </c>
      <c r="EE208" s="1" t="str">
        <f t="shared" si="54"/>
        <v>5399336805.56636+44.274662i</v>
      </c>
      <c r="EF208" s="1" t="str">
        <f t="shared" si="56"/>
        <v>0.010799+44.274562i</v>
      </c>
      <c r="EG208" s="1" t="str">
        <f t="shared" si="57"/>
        <v>0.010899+43.616106i</v>
      </c>
      <c r="FN208" s="1">
        <f t="shared" si="46"/>
        <v>41.6</v>
      </c>
      <c r="FO208" s="1">
        <f t="shared" si="47"/>
        <v>44.273524341526389</v>
      </c>
    </row>
    <row r="209" spans="127:171" x14ac:dyDescent="0.25">
      <c r="DW209" s="1">
        <f t="shared" si="50"/>
        <v>41.2</v>
      </c>
      <c r="DX209" s="12" t="str">
        <f t="shared" si="55"/>
        <v>0.0001-0.655259i</v>
      </c>
      <c r="DY209" s="13" t="str">
        <f t="shared" si="48"/>
        <v>0.000000001</v>
      </c>
      <c r="DZ209" s="13" t="str">
        <f t="shared" si="51"/>
        <v>0.010799+44.490535i</v>
      </c>
      <c r="EA209" s="14" t="str">
        <f t="shared" si="52"/>
        <v>5399336805.55556+0.0001i</v>
      </c>
      <c r="EC209" s="1" t="str">
        <f t="shared" si="49"/>
        <v>0.010799001+44.490535i</v>
      </c>
      <c r="ED209" s="1" t="str">
        <f t="shared" si="53"/>
        <v>58307443.558082+240219383124.358i</v>
      </c>
      <c r="EE209" s="1" t="str">
        <f t="shared" si="54"/>
        <v>5399336805.56636+44.490635i</v>
      </c>
      <c r="EF209" s="1" t="str">
        <f t="shared" si="56"/>
        <v>0.010799+44.490535i</v>
      </c>
      <c r="EG209" s="1" t="str">
        <f t="shared" si="57"/>
        <v>0.010899+43.835276i</v>
      </c>
      <c r="FN209" s="1">
        <f t="shared" si="46"/>
        <v>41.8</v>
      </c>
      <c r="FO209" s="1">
        <f t="shared" si="47"/>
        <v>44.492603334920787</v>
      </c>
    </row>
    <row r="210" spans="127:171" x14ac:dyDescent="0.25">
      <c r="DW210" s="1">
        <f t="shared" si="50"/>
        <v>41.4</v>
      </c>
      <c r="DX210" s="12" t="str">
        <f t="shared" si="55"/>
        <v>0.0001-0.652094i</v>
      </c>
      <c r="DY210" s="13" t="str">
        <f t="shared" si="48"/>
        <v>0.000000001</v>
      </c>
      <c r="DZ210" s="13" t="str">
        <f t="shared" si="51"/>
        <v>0.010799+44.706509i</v>
      </c>
      <c r="EA210" s="14" t="str">
        <f t="shared" si="52"/>
        <v>5399336805.55556+0.0001i</v>
      </c>
      <c r="EC210" s="1" t="str">
        <f t="shared" si="49"/>
        <v>0.010799001+44.706509i</v>
      </c>
      <c r="ED210" s="1" t="str">
        <f t="shared" si="53"/>
        <v>58307443.558061+241385499491.601i</v>
      </c>
      <c r="EE210" s="1" t="str">
        <f t="shared" si="54"/>
        <v>5399336805.56636+44.706609i</v>
      </c>
      <c r="EF210" s="1" t="str">
        <f t="shared" si="56"/>
        <v>0.010799+44.706509i</v>
      </c>
      <c r="EG210" s="1" t="str">
        <f t="shared" si="57"/>
        <v>0.010899+44.054415i</v>
      </c>
      <c r="FN210" s="1">
        <f t="shared" si="46"/>
        <v>42</v>
      </c>
      <c r="FO210" s="1">
        <f t="shared" si="47"/>
        <v>44.711652328380822</v>
      </c>
    </row>
    <row r="211" spans="127:171" x14ac:dyDescent="0.25">
      <c r="DW211" s="1">
        <f t="shared" si="50"/>
        <v>41.6</v>
      </c>
      <c r="DX211" s="12" t="str">
        <f t="shared" si="55"/>
        <v>0.0001-0.648959i</v>
      </c>
      <c r="DY211" s="13" t="str">
        <f t="shared" si="48"/>
        <v>0.000000001</v>
      </c>
      <c r="DZ211" s="13" t="str">
        <f t="shared" si="51"/>
        <v>0.010799+44.922482i</v>
      </c>
      <c r="EA211" s="14" t="str">
        <f t="shared" si="52"/>
        <v>5399336805.55556+0.0001i</v>
      </c>
      <c r="EC211" s="1" t="str">
        <f t="shared" si="49"/>
        <v>0.010799001+44.922482i</v>
      </c>
      <c r="ED211" s="1" t="str">
        <f t="shared" si="53"/>
        <v>58307443.558039+242551610459.507i</v>
      </c>
      <c r="EE211" s="1" t="str">
        <f t="shared" si="54"/>
        <v>5399336805.56636+44.922582i</v>
      </c>
      <c r="EF211" s="1" t="str">
        <f t="shared" si="56"/>
        <v>0.010799+44.922482i</v>
      </c>
      <c r="EG211" s="1" t="str">
        <f t="shared" si="57"/>
        <v>0.010899+44.273523i</v>
      </c>
      <c r="FN211" s="1">
        <f t="shared" si="46"/>
        <v>42.2</v>
      </c>
      <c r="FO211" s="1">
        <f t="shared" si="47"/>
        <v>44.930672321905462</v>
      </c>
    </row>
    <row r="212" spans="127:171" x14ac:dyDescent="0.25">
      <c r="DW212" s="1">
        <f t="shared" si="50"/>
        <v>41.8</v>
      </c>
      <c r="DX212" s="12" t="str">
        <f t="shared" si="55"/>
        <v>0.0001-0.645854i</v>
      </c>
      <c r="DY212" s="13" t="str">
        <f t="shared" si="48"/>
        <v>0.000000001</v>
      </c>
      <c r="DZ212" s="13" t="str">
        <f t="shared" si="51"/>
        <v>0.010799+45.138456i</v>
      </c>
      <c r="EA212" s="14" t="str">
        <f t="shared" si="52"/>
        <v>5399336805.55556+0.0001i</v>
      </c>
      <c r="EC212" s="1" t="str">
        <f t="shared" si="49"/>
        <v>0.010799001+45.138456i</v>
      </c>
      <c r="ED212" s="1" t="str">
        <f t="shared" si="53"/>
        <v>58307443.558018+243717726826.75i</v>
      </c>
      <c r="EE212" s="1" t="str">
        <f t="shared" si="54"/>
        <v>5399336805.56636+45.138556i</v>
      </c>
      <c r="EF212" s="1" t="str">
        <f t="shared" si="56"/>
        <v>0.010799+45.138456i</v>
      </c>
      <c r="EG212" s="1" t="str">
        <f t="shared" si="57"/>
        <v>0.010899+44.492602i</v>
      </c>
      <c r="FN212" s="1">
        <f t="shared" si="46"/>
        <v>42.4</v>
      </c>
      <c r="FO212" s="1">
        <f t="shared" si="47"/>
        <v>45.14966331549379</v>
      </c>
    </row>
    <row r="213" spans="127:171" x14ac:dyDescent="0.25">
      <c r="DW213" s="1">
        <f t="shared" si="50"/>
        <v>42</v>
      </c>
      <c r="DX213" s="12" t="str">
        <f t="shared" si="55"/>
        <v>0.0001-0.642778i</v>
      </c>
      <c r="DY213" s="13" t="str">
        <f t="shared" si="48"/>
        <v>0.000000001</v>
      </c>
      <c r="DZ213" s="13" t="str">
        <f t="shared" si="51"/>
        <v>0.010799+45.354429i</v>
      </c>
      <c r="EA213" s="14" t="str">
        <f t="shared" si="52"/>
        <v>5399336805.55556+0.0001i</v>
      </c>
      <c r="EC213" s="1" t="str">
        <f t="shared" si="49"/>
        <v>0.010799001+45.354429i</v>
      </c>
      <c r="ED213" s="1" t="str">
        <f t="shared" si="53"/>
        <v>58307443.557996+244883837794.656i</v>
      </c>
      <c r="EE213" s="1" t="str">
        <f t="shared" si="54"/>
        <v>5399336805.56636+45.354529i</v>
      </c>
      <c r="EF213" s="1" t="str">
        <f t="shared" si="56"/>
        <v>0.010799+45.354429i</v>
      </c>
      <c r="EG213" s="1" t="str">
        <f t="shared" si="57"/>
        <v>0.010899+44.711651i</v>
      </c>
      <c r="FN213" s="1">
        <f t="shared" si="46"/>
        <v>42.6</v>
      </c>
      <c r="FO213" s="1">
        <f t="shared" si="47"/>
        <v>45.368626309144808</v>
      </c>
    </row>
    <row r="214" spans="127:171" x14ac:dyDescent="0.25">
      <c r="DW214" s="1">
        <f t="shared" si="50"/>
        <v>42.2</v>
      </c>
      <c r="DX214" s="12" t="str">
        <f t="shared" si="55"/>
        <v>0.0001-0.639732i</v>
      </c>
      <c r="DY214" s="13" t="str">
        <f t="shared" si="48"/>
        <v>0.000000001</v>
      </c>
      <c r="DZ214" s="13" t="str">
        <f t="shared" si="51"/>
        <v>0.010799+45.570403i</v>
      </c>
      <c r="EA214" s="14" t="str">
        <f t="shared" si="52"/>
        <v>5399336805.55556+0.0001i</v>
      </c>
      <c r="EC214" s="1" t="str">
        <f t="shared" si="49"/>
        <v>0.010799001+45.570403i</v>
      </c>
      <c r="ED214" s="1" t="str">
        <f t="shared" si="53"/>
        <v>58307443.557974+246049954161.9i</v>
      </c>
      <c r="EE214" s="1" t="str">
        <f t="shared" si="54"/>
        <v>5399336805.56636+45.570503i</v>
      </c>
      <c r="EF214" s="1" t="str">
        <f t="shared" si="56"/>
        <v>0.010799+45.570403i</v>
      </c>
      <c r="EG214" s="1" t="str">
        <f t="shared" si="57"/>
        <v>0.010899+44.930671i</v>
      </c>
      <c r="FN214" s="1">
        <f t="shared" si="46"/>
        <v>42.8</v>
      </c>
      <c r="FO214" s="1">
        <f t="shared" si="47"/>
        <v>45.587560302857639</v>
      </c>
    </row>
    <row r="215" spans="127:171" x14ac:dyDescent="0.25">
      <c r="DW215" s="1">
        <f t="shared" si="50"/>
        <v>42.4</v>
      </c>
      <c r="DX215" s="12" t="str">
        <f t="shared" si="55"/>
        <v>0.0001-0.636714i</v>
      </c>
      <c r="DY215" s="13" t="str">
        <f t="shared" si="48"/>
        <v>0.000000001</v>
      </c>
      <c r="DZ215" s="13" t="str">
        <f t="shared" si="51"/>
        <v>0.010799+45.786376i</v>
      </c>
      <c r="EA215" s="14" t="str">
        <f t="shared" si="52"/>
        <v>5399336805.55556+0.0001i</v>
      </c>
      <c r="EC215" s="1" t="str">
        <f t="shared" si="49"/>
        <v>0.010799001+45.786376i</v>
      </c>
      <c r="ED215" s="1" t="str">
        <f t="shared" si="53"/>
        <v>58307443.557953+247216065129.806i</v>
      </c>
      <c r="EE215" s="1" t="str">
        <f t="shared" si="54"/>
        <v>5399336805.56636+45.786476i</v>
      </c>
      <c r="EF215" s="1" t="str">
        <f t="shared" si="56"/>
        <v>0.010799+45.786376i</v>
      </c>
      <c r="EG215" s="1" t="str">
        <f t="shared" si="57"/>
        <v>0.010899+45.149662i</v>
      </c>
      <c r="FN215" s="1">
        <f t="shared" si="46"/>
        <v>43</v>
      </c>
      <c r="FO215" s="1">
        <f t="shared" si="47"/>
        <v>45.806468296631316</v>
      </c>
    </row>
    <row r="216" spans="127:171" x14ac:dyDescent="0.25">
      <c r="DW216" s="1">
        <f t="shared" si="50"/>
        <v>42.6</v>
      </c>
      <c r="DX216" s="12" t="str">
        <f t="shared" si="55"/>
        <v>0.0001-0.633725i</v>
      </c>
      <c r="DY216" s="13" t="str">
        <f t="shared" si="48"/>
        <v>0.000000001</v>
      </c>
      <c r="DZ216" s="13" t="str">
        <f t="shared" si="51"/>
        <v>0.010799+46.00235i</v>
      </c>
      <c r="EA216" s="14" t="str">
        <f t="shared" si="52"/>
        <v>5399336805.55556+0.0001i</v>
      </c>
      <c r="EC216" s="1" t="str">
        <f t="shared" si="49"/>
        <v>0.010799001+46.00235i</v>
      </c>
      <c r="ED216" s="1" t="str">
        <f t="shared" si="53"/>
        <v>58307443.557931+248382181497.049i</v>
      </c>
      <c r="EE216" s="1" t="str">
        <f t="shared" si="54"/>
        <v>5399336805.56636+46.00245i</v>
      </c>
      <c r="EF216" s="1" t="str">
        <f t="shared" si="56"/>
        <v>0.010799+46.00235i</v>
      </c>
      <c r="EG216" s="1" t="str">
        <f t="shared" si="57"/>
        <v>0.010899+45.368625i</v>
      </c>
      <c r="FN216" s="1">
        <f t="shared" si="46"/>
        <v>43.2</v>
      </c>
      <c r="FO216" s="1">
        <f t="shared" si="47"/>
        <v>46.025348290464997</v>
      </c>
    </row>
    <row r="217" spans="127:171" x14ac:dyDescent="0.25">
      <c r="DW217" s="1">
        <f t="shared" si="50"/>
        <v>42.8</v>
      </c>
      <c r="DX217" s="12" t="str">
        <f t="shared" si="55"/>
        <v>0.0001-0.630764i</v>
      </c>
      <c r="DY217" s="13" t="str">
        <f t="shared" si="48"/>
        <v>0.000000001</v>
      </c>
      <c r="DZ217" s="13" t="str">
        <f t="shared" si="51"/>
        <v>0.010799+46.218323i</v>
      </c>
      <c r="EA217" s="14" t="str">
        <f t="shared" si="52"/>
        <v>5399336805.55556+0.0001i</v>
      </c>
      <c r="EC217" s="1" t="str">
        <f t="shared" si="49"/>
        <v>0.010799001+46.218323i</v>
      </c>
      <c r="ED217" s="1" t="str">
        <f t="shared" si="53"/>
        <v>58307443.55791+249548292464.955i</v>
      </c>
      <c r="EE217" s="1" t="str">
        <f t="shared" si="54"/>
        <v>5399336805.56636+46.218423i</v>
      </c>
      <c r="EF217" s="1" t="str">
        <f t="shared" si="56"/>
        <v>0.010799+46.218323i</v>
      </c>
      <c r="EG217" s="1" t="str">
        <f t="shared" si="57"/>
        <v>0.010899+45.587559i</v>
      </c>
      <c r="FN217" s="1">
        <f t="shared" si="46"/>
        <v>43.4</v>
      </c>
      <c r="FO217" s="1">
        <f t="shared" si="47"/>
        <v>46.244201284357814</v>
      </c>
    </row>
    <row r="218" spans="127:171" x14ac:dyDescent="0.25">
      <c r="DW218" s="1">
        <f t="shared" si="50"/>
        <v>43</v>
      </c>
      <c r="DX218" s="12" t="str">
        <f t="shared" si="55"/>
        <v>0.0001-0.62783i</v>
      </c>
      <c r="DY218" s="13" t="str">
        <f t="shared" si="48"/>
        <v>0.000000001</v>
      </c>
      <c r="DZ218" s="13" t="str">
        <f t="shared" si="51"/>
        <v>0.010799+46.434297i</v>
      </c>
      <c r="EA218" s="14" t="str">
        <f t="shared" si="52"/>
        <v>5399336805.55556+0.0001i</v>
      </c>
      <c r="EC218" s="1" t="str">
        <f t="shared" si="49"/>
        <v>0.010799001+46.434297i</v>
      </c>
      <c r="ED218" s="1" t="str">
        <f t="shared" si="53"/>
        <v>58307443.557888+250714408832.198i</v>
      </c>
      <c r="EE218" s="1" t="str">
        <f t="shared" si="54"/>
        <v>5399336805.56636+46.434397i</v>
      </c>
      <c r="EF218" s="1" t="str">
        <f t="shared" si="56"/>
        <v>0.010799+46.434297i</v>
      </c>
      <c r="EG218" s="1" t="str">
        <f t="shared" si="57"/>
        <v>0.010899+45.806467i</v>
      </c>
      <c r="FN218" s="1">
        <f t="shared" si="46"/>
        <v>43.6</v>
      </c>
      <c r="FO218" s="1">
        <f t="shared" si="47"/>
        <v>46.463028278308869</v>
      </c>
    </row>
    <row r="219" spans="127:171" x14ac:dyDescent="0.25">
      <c r="DW219" s="1">
        <f t="shared" si="50"/>
        <v>43.2</v>
      </c>
      <c r="DX219" s="12" t="str">
        <f t="shared" si="55"/>
        <v>0.0001-0.624923i</v>
      </c>
      <c r="DY219" s="13" t="str">
        <f t="shared" si="48"/>
        <v>0.000000001</v>
      </c>
      <c r="DZ219" s="13" t="str">
        <f t="shared" si="51"/>
        <v>0.010799+46.65027i</v>
      </c>
      <c r="EA219" s="14" t="str">
        <f t="shared" si="52"/>
        <v>5399336805.55556+0.0001i</v>
      </c>
      <c r="EC219" s="1" t="str">
        <f t="shared" si="49"/>
        <v>0.010799001+46.65027i</v>
      </c>
      <c r="ED219" s="1" t="str">
        <f t="shared" si="53"/>
        <v>58307443.557866+251880519800.104i</v>
      </c>
      <c r="EE219" s="1" t="str">
        <f t="shared" si="54"/>
        <v>5399336805.56636+46.65037i</v>
      </c>
      <c r="EF219" s="1" t="str">
        <f t="shared" si="56"/>
        <v>0.010799+46.65027i</v>
      </c>
      <c r="EG219" s="1" t="str">
        <f t="shared" si="57"/>
        <v>0.010899+46.025347i</v>
      </c>
      <c r="FN219" s="1">
        <f t="shared" si="46"/>
        <v>43.8</v>
      </c>
      <c r="FO219" s="1">
        <f t="shared" si="47"/>
        <v>46.681828272317375</v>
      </c>
    </row>
    <row r="220" spans="127:171" x14ac:dyDescent="0.25">
      <c r="DW220" s="1">
        <f t="shared" si="50"/>
        <v>43.4</v>
      </c>
      <c r="DX220" s="12" t="str">
        <f t="shared" si="55"/>
        <v>0.0001-0.622043i</v>
      </c>
      <c r="DY220" s="13" t="str">
        <f t="shared" si="48"/>
        <v>0.000000001</v>
      </c>
      <c r="DZ220" s="13" t="str">
        <f t="shared" si="51"/>
        <v>0.010799+46.866243i</v>
      </c>
      <c r="EA220" s="14" t="str">
        <f t="shared" si="52"/>
        <v>5399336805.55556+0.0001i</v>
      </c>
      <c r="EC220" s="1" t="str">
        <f t="shared" si="49"/>
        <v>0.010799001+46.866243i</v>
      </c>
      <c r="ED220" s="1" t="str">
        <f t="shared" si="53"/>
        <v>58307443.557845+253046630768.011i</v>
      </c>
      <c r="EE220" s="1" t="str">
        <f t="shared" si="54"/>
        <v>5399336805.56636+46.866343i</v>
      </c>
      <c r="EF220" s="1" t="str">
        <f t="shared" si="56"/>
        <v>0.010799+46.866243i</v>
      </c>
      <c r="EG220" s="1" t="str">
        <f t="shared" si="57"/>
        <v>0.010899+46.2442i</v>
      </c>
      <c r="FN220" s="1">
        <f t="shared" si="46"/>
        <v>44</v>
      </c>
      <c r="FO220" s="1">
        <f t="shared" si="47"/>
        <v>46.90060426638243</v>
      </c>
    </row>
    <row r="221" spans="127:171" x14ac:dyDescent="0.25">
      <c r="DW221" s="1">
        <f t="shared" si="50"/>
        <v>43.6</v>
      </c>
      <c r="DX221" s="12" t="str">
        <f t="shared" si="55"/>
        <v>0.0001-0.61919i</v>
      </c>
      <c r="DY221" s="13" t="str">
        <f t="shared" si="48"/>
        <v>0.000000001</v>
      </c>
      <c r="DZ221" s="13" t="str">
        <f t="shared" si="51"/>
        <v>0.010799+47.082217i</v>
      </c>
      <c r="EA221" s="14" t="str">
        <f t="shared" si="52"/>
        <v>5399336805.55556+0.0001i</v>
      </c>
      <c r="EC221" s="1" t="str">
        <f t="shared" si="49"/>
        <v>0.010799001+47.082217i</v>
      </c>
      <c r="ED221" s="1" t="str">
        <f t="shared" si="53"/>
        <v>58307443.557823+254212747135.254i</v>
      </c>
      <c r="EE221" s="1" t="str">
        <f t="shared" si="54"/>
        <v>5399336805.56636+47.082317i</v>
      </c>
      <c r="EF221" s="1" t="str">
        <f t="shared" si="56"/>
        <v>0.010799+47.082217i</v>
      </c>
      <c r="EG221" s="1" t="str">
        <f t="shared" si="57"/>
        <v>0.010899+46.463027i</v>
      </c>
      <c r="FN221" s="1">
        <f t="shared" si="46"/>
        <v>44.2</v>
      </c>
      <c r="FO221" s="1">
        <f t="shared" si="47"/>
        <v>47.119353260503317</v>
      </c>
    </row>
    <row r="222" spans="127:171" x14ac:dyDescent="0.25">
      <c r="DW222" s="1">
        <f t="shared" si="50"/>
        <v>43.8</v>
      </c>
      <c r="DX222" s="12" t="str">
        <f t="shared" si="55"/>
        <v>0.0001-0.616363i</v>
      </c>
      <c r="DY222" s="13" t="str">
        <f t="shared" si="48"/>
        <v>0.000000001</v>
      </c>
      <c r="DZ222" s="13" t="str">
        <f t="shared" si="51"/>
        <v>0.010799+47.29819i</v>
      </c>
      <c r="EA222" s="14" t="str">
        <f t="shared" si="52"/>
        <v>5399336805.55556+0.0001i</v>
      </c>
      <c r="EC222" s="1" t="str">
        <f t="shared" si="49"/>
        <v>0.010799001+47.29819i</v>
      </c>
      <c r="ED222" s="1" t="str">
        <f t="shared" si="53"/>
        <v>58307443.557802+255378858103.16i</v>
      </c>
      <c r="EE222" s="1" t="str">
        <f t="shared" si="54"/>
        <v>5399336805.56636+47.29829i</v>
      </c>
      <c r="EF222" s="1" t="str">
        <f t="shared" si="56"/>
        <v>0.010799+47.29819i</v>
      </c>
      <c r="EG222" s="1" t="str">
        <f t="shared" si="57"/>
        <v>0.010899+46.681827i</v>
      </c>
      <c r="FN222" s="1">
        <f t="shared" si="46"/>
        <v>44.4</v>
      </c>
      <c r="FO222" s="1">
        <f t="shared" si="47"/>
        <v>47.338079254679151</v>
      </c>
    </row>
    <row r="223" spans="127:171" x14ac:dyDescent="0.25">
      <c r="DW223" s="1">
        <f t="shared" si="50"/>
        <v>44</v>
      </c>
      <c r="DX223" s="12" t="str">
        <f t="shared" si="55"/>
        <v>0.0001-0.613561i</v>
      </c>
      <c r="DY223" s="13" t="str">
        <f t="shared" si="48"/>
        <v>0.000000001</v>
      </c>
      <c r="DZ223" s="13" t="str">
        <f t="shared" si="51"/>
        <v>0.010799+47.514164i</v>
      </c>
      <c r="EA223" s="14" t="str">
        <f t="shared" si="52"/>
        <v>5399336805.55556+0.0001i</v>
      </c>
      <c r="EC223" s="1" t="str">
        <f t="shared" si="49"/>
        <v>0.010799001+47.514164i</v>
      </c>
      <c r="ED223" s="1" t="str">
        <f t="shared" si="53"/>
        <v>58307443.55778+256544974470.403i</v>
      </c>
      <c r="EE223" s="1" t="str">
        <f t="shared" si="54"/>
        <v>5399336805.56636+47.514264i</v>
      </c>
      <c r="EF223" s="1" t="str">
        <f t="shared" si="56"/>
        <v>0.010799+47.514164i</v>
      </c>
      <c r="EG223" s="1" t="str">
        <f t="shared" si="57"/>
        <v>0.010899+46.900603i</v>
      </c>
      <c r="FN223" s="1">
        <f t="shared" si="46"/>
        <v>44.6</v>
      </c>
      <c r="FO223" s="1">
        <f t="shared" si="47"/>
        <v>47.556778248909268</v>
      </c>
    </row>
    <row r="224" spans="127:171" x14ac:dyDescent="0.25">
      <c r="DW224" s="1">
        <f t="shared" si="50"/>
        <v>44.2</v>
      </c>
      <c r="DX224" s="12" t="str">
        <f t="shared" si="55"/>
        <v>0.0001-0.610785i</v>
      </c>
      <c r="DY224" s="13" t="str">
        <f t="shared" si="48"/>
        <v>0.000000001</v>
      </c>
      <c r="DZ224" s="13" t="str">
        <f t="shared" si="51"/>
        <v>0.010799+47.730137i</v>
      </c>
      <c r="EA224" s="14" t="str">
        <f t="shared" si="52"/>
        <v>5399336805.55556+0.0001i</v>
      </c>
      <c r="EC224" s="1" t="str">
        <f t="shared" si="49"/>
        <v>0.010799001+47.730137i</v>
      </c>
      <c r="ED224" s="1" t="str">
        <f t="shared" si="53"/>
        <v>58307443.557758+257711085438.309i</v>
      </c>
      <c r="EE224" s="1" t="str">
        <f t="shared" si="54"/>
        <v>5399336805.56636+47.730237i</v>
      </c>
      <c r="EF224" s="1" t="str">
        <f t="shared" si="56"/>
        <v>0.010799+47.730137i</v>
      </c>
      <c r="EG224" s="1" t="str">
        <f t="shared" si="57"/>
        <v>0.010899+47.119352i</v>
      </c>
      <c r="FN224" s="1">
        <f t="shared" si="46"/>
        <v>44.8</v>
      </c>
      <c r="FO224" s="1">
        <f t="shared" si="47"/>
        <v>47.775454243192804</v>
      </c>
    </row>
    <row r="225" spans="127:171" x14ac:dyDescent="0.25">
      <c r="DW225" s="1">
        <f t="shared" si="50"/>
        <v>44.4</v>
      </c>
      <c r="DX225" s="12" t="str">
        <f t="shared" si="55"/>
        <v>0.0001-0.608033i</v>
      </c>
      <c r="DY225" s="13" t="str">
        <f t="shared" si="48"/>
        <v>0.000000001</v>
      </c>
      <c r="DZ225" s="13" t="str">
        <f t="shared" si="51"/>
        <v>0.010799+47.946111i</v>
      </c>
      <c r="EA225" s="14" t="str">
        <f t="shared" si="52"/>
        <v>5399336805.55556+0.0001i</v>
      </c>
      <c r="EC225" s="1" t="str">
        <f t="shared" si="49"/>
        <v>0.010799001+47.946111i</v>
      </c>
      <c r="ED225" s="1" t="str">
        <f t="shared" si="53"/>
        <v>58307443.557737+258877201805.552i</v>
      </c>
      <c r="EE225" s="1" t="str">
        <f t="shared" si="54"/>
        <v>5399336805.56636+47.946211i</v>
      </c>
      <c r="EF225" s="1" t="str">
        <f t="shared" si="56"/>
        <v>0.010799+47.946111i</v>
      </c>
      <c r="EG225" s="1" t="str">
        <f t="shared" si="57"/>
        <v>0.010899+47.338078i</v>
      </c>
      <c r="FN225" s="1">
        <f t="shared" si="46"/>
        <v>45</v>
      </c>
      <c r="FO225" s="1">
        <f t="shared" si="47"/>
        <v>47.994106237529067</v>
      </c>
    </row>
    <row r="226" spans="127:171" x14ac:dyDescent="0.25">
      <c r="DW226" s="1">
        <f t="shared" si="50"/>
        <v>44.6</v>
      </c>
      <c r="DX226" s="12" t="str">
        <f t="shared" si="55"/>
        <v>0.0001-0.605307i</v>
      </c>
      <c r="DY226" s="13" t="str">
        <f t="shared" si="48"/>
        <v>0.000000001</v>
      </c>
      <c r="DZ226" s="13" t="str">
        <f t="shared" si="51"/>
        <v>0.010799+48.162084i</v>
      </c>
      <c r="EA226" s="14" t="str">
        <f t="shared" si="52"/>
        <v>5399336805.55556+0.0001i</v>
      </c>
      <c r="EC226" s="1" t="str">
        <f t="shared" si="49"/>
        <v>0.010799001+48.162084i</v>
      </c>
      <c r="ED226" s="1" t="str">
        <f t="shared" si="53"/>
        <v>58307443.557715+260043312773.459i</v>
      </c>
      <c r="EE226" s="1" t="str">
        <f t="shared" si="54"/>
        <v>5399336805.56636+48.162184i</v>
      </c>
      <c r="EF226" s="1" t="str">
        <f t="shared" si="56"/>
        <v>0.010799+48.162084i</v>
      </c>
      <c r="EG226" s="1" t="str">
        <f t="shared" si="57"/>
        <v>0.010899+47.556777i</v>
      </c>
      <c r="FN226" s="1">
        <f t="shared" si="46"/>
        <v>45.2</v>
      </c>
      <c r="FO226" s="1">
        <f t="shared" si="47"/>
        <v>48.212734231917302</v>
      </c>
    </row>
    <row r="227" spans="127:171" x14ac:dyDescent="0.25">
      <c r="DW227" s="1">
        <f t="shared" si="50"/>
        <v>44.8</v>
      </c>
      <c r="DX227" s="12" t="str">
        <f t="shared" si="55"/>
        <v>0.0001-0.602605i</v>
      </c>
      <c r="DY227" s="13" t="str">
        <f t="shared" si="48"/>
        <v>0.000000001</v>
      </c>
      <c r="DZ227" s="13" t="str">
        <f t="shared" si="51"/>
        <v>0.010799+48.378058i</v>
      </c>
      <c r="EA227" s="14" t="str">
        <f t="shared" si="52"/>
        <v>5399336805.55556+0.0001i</v>
      </c>
      <c r="EC227" s="1" t="str">
        <f t="shared" si="49"/>
        <v>0.010799001+48.378058i</v>
      </c>
      <c r="ED227" s="1" t="str">
        <f t="shared" si="53"/>
        <v>58307443.557694+261209429140.702i</v>
      </c>
      <c r="EE227" s="1" t="str">
        <f t="shared" si="54"/>
        <v>5399336805.56636+48.378158i</v>
      </c>
      <c r="EF227" s="1" t="str">
        <f t="shared" si="56"/>
        <v>0.010799+48.378058i</v>
      </c>
      <c r="EG227" s="1" t="str">
        <f t="shared" si="57"/>
        <v>0.010899+47.775453i</v>
      </c>
      <c r="FN227" s="1">
        <f t="shared" si="46"/>
        <v>45.4</v>
      </c>
      <c r="FO227" s="1">
        <f t="shared" si="47"/>
        <v>48.431338226356807</v>
      </c>
    </row>
    <row r="228" spans="127:171" x14ac:dyDescent="0.25">
      <c r="DW228" s="1">
        <f t="shared" si="50"/>
        <v>45</v>
      </c>
      <c r="DX228" s="12" t="str">
        <f t="shared" si="55"/>
        <v>0.0001-0.599926i</v>
      </c>
      <c r="DY228" s="13" t="str">
        <f t="shared" si="48"/>
        <v>0.000000001</v>
      </c>
      <c r="DZ228" s="13" t="str">
        <f t="shared" si="51"/>
        <v>0.010799+48.594031i</v>
      </c>
      <c r="EA228" s="14" t="str">
        <f t="shared" si="52"/>
        <v>5399336805.55556+0.0001i</v>
      </c>
      <c r="EC228" s="1" t="str">
        <f t="shared" si="49"/>
        <v>0.010799001+48.594031i</v>
      </c>
      <c r="ED228" s="1" t="str">
        <f t="shared" si="53"/>
        <v>58307443.557672+262375540108.608i</v>
      </c>
      <c r="EE228" s="1" t="str">
        <f t="shared" si="54"/>
        <v>5399336805.56636+48.594131i</v>
      </c>
      <c r="EF228" s="1" t="str">
        <f t="shared" si="56"/>
        <v>0.010799+48.594031i</v>
      </c>
      <c r="EG228" s="1" t="str">
        <f t="shared" si="57"/>
        <v>0.010899+47.994105i</v>
      </c>
      <c r="FN228" s="1">
        <f t="shared" si="46"/>
        <v>45.6</v>
      </c>
      <c r="FO228" s="1">
        <f t="shared" si="47"/>
        <v>48.649920220846838</v>
      </c>
    </row>
    <row r="229" spans="127:171" x14ac:dyDescent="0.25">
      <c r="DW229" s="1">
        <f t="shared" si="50"/>
        <v>45.2</v>
      </c>
      <c r="DX229" s="12" t="str">
        <f t="shared" si="55"/>
        <v>0.0001-0.597272i</v>
      </c>
      <c r="DY229" s="13" t="str">
        <f t="shared" si="48"/>
        <v>0.000000001</v>
      </c>
      <c r="DZ229" s="13" t="str">
        <f t="shared" si="51"/>
        <v>0.010799+48.810005i</v>
      </c>
      <c r="EA229" s="14" t="str">
        <f t="shared" si="52"/>
        <v>5399336805.55556+0.0001i</v>
      </c>
      <c r="EC229" s="1" t="str">
        <f t="shared" si="49"/>
        <v>0.010799001+48.810005i</v>
      </c>
      <c r="ED229" s="1" t="str">
        <f t="shared" si="53"/>
        <v>58307443.55765+263541656475.851i</v>
      </c>
      <c r="EE229" s="1" t="str">
        <f t="shared" si="54"/>
        <v>5399336805.56636+48.810105i</v>
      </c>
      <c r="EF229" s="1" t="str">
        <f t="shared" si="56"/>
        <v>0.010799+48.810005i</v>
      </c>
      <c r="EG229" s="1" t="str">
        <f t="shared" si="57"/>
        <v>0.010899+48.212733i</v>
      </c>
      <c r="FN229" s="1">
        <f t="shared" si="46"/>
        <v>45.8</v>
      </c>
      <c r="FO229" s="1">
        <f t="shared" si="47"/>
        <v>48.868479215386735</v>
      </c>
    </row>
    <row r="230" spans="127:171" x14ac:dyDescent="0.25">
      <c r="DW230" s="1">
        <f t="shared" si="50"/>
        <v>45.4</v>
      </c>
      <c r="DX230" s="12" t="str">
        <f t="shared" si="55"/>
        <v>0.0001-0.594641i</v>
      </c>
      <c r="DY230" s="13" t="str">
        <f t="shared" si="48"/>
        <v>0.000000001</v>
      </c>
      <c r="DZ230" s="13" t="str">
        <f t="shared" si="51"/>
        <v>0.010799+49.025978i</v>
      </c>
      <c r="EA230" s="14" t="str">
        <f t="shared" si="52"/>
        <v>5399336805.55556+0.0001i</v>
      </c>
      <c r="EC230" s="1" t="str">
        <f t="shared" si="49"/>
        <v>0.010799001+49.025978i</v>
      </c>
      <c r="ED230" s="1" t="str">
        <f t="shared" si="53"/>
        <v>58307443.557629+264707767443.757i</v>
      </c>
      <c r="EE230" s="1" t="str">
        <f t="shared" si="54"/>
        <v>5399336805.56636+49.026078i</v>
      </c>
      <c r="EF230" s="1" t="str">
        <f t="shared" si="56"/>
        <v>0.010799+49.025978i</v>
      </c>
      <c r="EG230" s="1" t="str">
        <f t="shared" si="57"/>
        <v>0.010899+48.431337i</v>
      </c>
      <c r="FN230" s="1">
        <f t="shared" si="46"/>
        <v>46</v>
      </c>
      <c r="FO230" s="1">
        <f t="shared" si="47"/>
        <v>49.087016209975793</v>
      </c>
    </row>
    <row r="231" spans="127:171" x14ac:dyDescent="0.25">
      <c r="DW231" s="1">
        <f t="shared" si="50"/>
        <v>45.6</v>
      </c>
      <c r="DX231" s="12" t="str">
        <f t="shared" si="55"/>
        <v>0.0001-0.592033i</v>
      </c>
      <c r="DY231" s="13" t="str">
        <f t="shared" si="48"/>
        <v>0.000000001</v>
      </c>
      <c r="DZ231" s="13" t="str">
        <f t="shared" si="51"/>
        <v>0.010799+49.241952i</v>
      </c>
      <c r="EA231" s="14" t="str">
        <f t="shared" si="52"/>
        <v>5399336805.55556+0.0001i</v>
      </c>
      <c r="EC231" s="1" t="str">
        <f t="shared" si="49"/>
        <v>0.010799001+49.241952i</v>
      </c>
      <c r="ED231" s="1" t="str">
        <f t="shared" si="53"/>
        <v>58307443.557607+265873883811i</v>
      </c>
      <c r="EE231" s="1" t="str">
        <f t="shared" si="54"/>
        <v>5399336805.56636+49.242052i</v>
      </c>
      <c r="EF231" s="1" t="str">
        <f t="shared" si="56"/>
        <v>0.010799+49.241952i</v>
      </c>
      <c r="EG231" s="1" t="str">
        <f t="shared" si="57"/>
        <v>0.010899+48.649919i</v>
      </c>
      <c r="FN231" s="1">
        <f t="shared" si="46"/>
        <v>46.2</v>
      </c>
      <c r="FO231" s="1">
        <f t="shared" si="47"/>
        <v>49.305529204613407</v>
      </c>
    </row>
    <row r="232" spans="127:171" x14ac:dyDescent="0.25">
      <c r="DW232" s="1">
        <f t="shared" si="50"/>
        <v>45.8</v>
      </c>
      <c r="DX232" s="12" t="str">
        <f t="shared" si="55"/>
        <v>0.0001-0.589447i</v>
      </c>
      <c r="DY232" s="13" t="str">
        <f t="shared" si="48"/>
        <v>0.000000001</v>
      </c>
      <c r="DZ232" s="13" t="str">
        <f t="shared" si="51"/>
        <v>0.010799+49.457925i</v>
      </c>
      <c r="EA232" s="14" t="str">
        <f t="shared" si="52"/>
        <v>5399336805.55556+0.0001i</v>
      </c>
      <c r="EC232" s="1" t="str">
        <f t="shared" si="49"/>
        <v>0.010799001+49.457925i</v>
      </c>
      <c r="ED232" s="1" t="str">
        <f t="shared" si="53"/>
        <v>58307443.557586+267039994778.906i</v>
      </c>
      <c r="EE232" s="1" t="str">
        <f t="shared" si="54"/>
        <v>5399336805.56636+49.458025i</v>
      </c>
      <c r="EF232" s="1" t="str">
        <f t="shared" si="56"/>
        <v>0.010799+49.457925i</v>
      </c>
      <c r="EG232" s="1" t="str">
        <f t="shared" si="57"/>
        <v>0.010899+48.868478i</v>
      </c>
      <c r="FN232" s="1">
        <f t="shared" si="46"/>
        <v>46.4</v>
      </c>
      <c r="FO232" s="1">
        <f t="shared" si="47"/>
        <v>49.524022199298813</v>
      </c>
    </row>
    <row r="233" spans="127:171" x14ac:dyDescent="0.25">
      <c r="DW233" s="1">
        <f t="shared" si="50"/>
        <v>46</v>
      </c>
      <c r="DX233" s="12" t="str">
        <f t="shared" si="55"/>
        <v>0.0001-0.586884i</v>
      </c>
      <c r="DY233" s="13" t="str">
        <f t="shared" si="48"/>
        <v>0.000000001</v>
      </c>
      <c r="DZ233" s="13" t="str">
        <f t="shared" si="51"/>
        <v>0.010799+49.673899i</v>
      </c>
      <c r="EA233" s="14" t="str">
        <f t="shared" si="52"/>
        <v>5399336805.55556+0.0001i</v>
      </c>
      <c r="EC233" s="1" t="str">
        <f t="shared" si="49"/>
        <v>0.010799001+49.673899i</v>
      </c>
      <c r="ED233" s="1" t="str">
        <f t="shared" si="53"/>
        <v>58307443.557564+268206111146.15i</v>
      </c>
      <c r="EE233" s="1" t="str">
        <f t="shared" si="54"/>
        <v>5399336805.56636+49.673999i</v>
      </c>
      <c r="EF233" s="1" t="str">
        <f t="shared" si="56"/>
        <v>0.010799+49.673899i</v>
      </c>
      <c r="EG233" s="1" t="str">
        <f t="shared" si="57"/>
        <v>0.010899+49.087015i</v>
      </c>
      <c r="FN233" s="1">
        <f t="shared" si="46"/>
        <v>46.6</v>
      </c>
      <c r="FO233" s="1">
        <f t="shared" si="47"/>
        <v>49.742492194031477</v>
      </c>
    </row>
    <row r="234" spans="127:171" x14ac:dyDescent="0.25">
      <c r="DW234" s="1">
        <f t="shared" si="50"/>
        <v>46.2</v>
      </c>
      <c r="DX234" s="12" t="str">
        <f t="shared" si="55"/>
        <v>0.0001-0.584344i</v>
      </c>
      <c r="DY234" s="13" t="str">
        <f t="shared" si="48"/>
        <v>0.000000001</v>
      </c>
      <c r="DZ234" s="13" t="str">
        <f t="shared" si="51"/>
        <v>0.010799+49.889872i</v>
      </c>
      <c r="EA234" s="14" t="str">
        <f t="shared" si="52"/>
        <v>5399336805.55556+0.0001i</v>
      </c>
      <c r="EC234" s="1" t="str">
        <f t="shared" si="49"/>
        <v>0.010799001+49.889872i</v>
      </c>
      <c r="ED234" s="1" t="str">
        <f t="shared" si="53"/>
        <v>58307443.557542+269372222114.056i</v>
      </c>
      <c r="EE234" s="1" t="str">
        <f t="shared" si="54"/>
        <v>5399336805.56636+49.889972i</v>
      </c>
      <c r="EF234" s="1" t="str">
        <f t="shared" si="56"/>
        <v>0.010799+49.889872i</v>
      </c>
      <c r="EG234" s="1" t="str">
        <f t="shared" si="57"/>
        <v>0.010899+49.305528i</v>
      </c>
      <c r="FN234" s="1">
        <f t="shared" si="46"/>
        <v>46.8</v>
      </c>
      <c r="FO234" s="1">
        <f t="shared" si="47"/>
        <v>49.96094218881067</v>
      </c>
    </row>
    <row r="235" spans="127:171" x14ac:dyDescent="0.25">
      <c r="DW235" s="1">
        <f t="shared" si="50"/>
        <v>46.4</v>
      </c>
      <c r="DX235" s="12" t="str">
        <f t="shared" si="55"/>
        <v>0.0001-0.581825i</v>
      </c>
      <c r="DY235" s="13" t="str">
        <f t="shared" si="48"/>
        <v>0.000000001</v>
      </c>
      <c r="DZ235" s="13" t="str">
        <f t="shared" si="51"/>
        <v>0.010799+50.105846i</v>
      </c>
      <c r="EA235" s="14" t="str">
        <f t="shared" si="52"/>
        <v>5399336805.55556+0.0001i</v>
      </c>
      <c r="EC235" s="1" t="str">
        <f t="shared" si="49"/>
        <v>0.010799001+50.105846i</v>
      </c>
      <c r="ED235" s="1" t="str">
        <f t="shared" si="53"/>
        <v>58307443.557521+270538338481.299i</v>
      </c>
      <c r="EE235" s="1" t="str">
        <f t="shared" si="54"/>
        <v>5399336805.56636+50.105946i</v>
      </c>
      <c r="EF235" s="1" t="str">
        <f t="shared" si="56"/>
        <v>0.010799+50.105846i</v>
      </c>
      <c r="EG235" s="1" t="str">
        <f t="shared" si="57"/>
        <v>0.010899+49.524021i</v>
      </c>
      <c r="FN235" s="1">
        <f t="shared" si="46"/>
        <v>47</v>
      </c>
      <c r="FO235" s="1">
        <f t="shared" si="47"/>
        <v>50.179369183635863</v>
      </c>
    </row>
    <row r="236" spans="127:171" x14ac:dyDescent="0.25">
      <c r="DW236" s="1">
        <f t="shared" si="50"/>
        <v>46.6</v>
      </c>
      <c r="DX236" s="12" t="str">
        <f t="shared" si="55"/>
        <v>0.0001-0.579328i</v>
      </c>
      <c r="DY236" s="13" t="str">
        <f t="shared" si="48"/>
        <v>0.000000001</v>
      </c>
      <c r="DZ236" s="13" t="str">
        <f t="shared" si="51"/>
        <v>0.010799+50.321819i</v>
      </c>
      <c r="EA236" s="14" t="str">
        <f t="shared" si="52"/>
        <v>5399336805.55556+0.0001i</v>
      </c>
      <c r="EC236" s="1" t="str">
        <f t="shared" si="49"/>
        <v>0.010799001+50.321819i</v>
      </c>
      <c r="ED236" s="1" t="str">
        <f t="shared" si="53"/>
        <v>58307443.557499+271704449449.205i</v>
      </c>
      <c r="EE236" s="1" t="str">
        <f t="shared" si="54"/>
        <v>5399336805.56636+50.321919i</v>
      </c>
      <c r="EF236" s="1" t="str">
        <f t="shared" si="56"/>
        <v>0.010799+50.321819i</v>
      </c>
      <c r="EG236" s="1" t="str">
        <f t="shared" si="57"/>
        <v>0.010899+49.742491i</v>
      </c>
      <c r="FN236" s="1">
        <f t="shared" si="46"/>
        <v>47.2</v>
      </c>
      <c r="FO236" s="1">
        <f t="shared" si="47"/>
        <v>50.39777617850639</v>
      </c>
    </row>
    <row r="237" spans="127:171" x14ac:dyDescent="0.25">
      <c r="DW237" s="1">
        <f t="shared" si="50"/>
        <v>46.8</v>
      </c>
      <c r="DX237" s="12" t="str">
        <f t="shared" si="55"/>
        <v>0.0001-0.576852i</v>
      </c>
      <c r="DY237" s="13" t="str">
        <f t="shared" si="48"/>
        <v>0.000000001</v>
      </c>
      <c r="DZ237" s="13" t="str">
        <f t="shared" si="51"/>
        <v>0.010799+50.537793i</v>
      </c>
      <c r="EA237" s="14" t="str">
        <f t="shared" si="52"/>
        <v>5399336805.55556+0.0001i</v>
      </c>
      <c r="EC237" s="1" t="str">
        <f t="shared" si="49"/>
        <v>0.010799001+50.537793i</v>
      </c>
      <c r="ED237" s="1" t="str">
        <f t="shared" si="53"/>
        <v>58307443.557478+272870565816.448i</v>
      </c>
      <c r="EE237" s="1" t="str">
        <f t="shared" si="54"/>
        <v>5399336805.56636+50.537893i</v>
      </c>
      <c r="EF237" s="1" t="str">
        <f t="shared" si="56"/>
        <v>0.010799+50.537793i</v>
      </c>
      <c r="EG237" s="1" t="str">
        <f t="shared" si="57"/>
        <v>0.010899+49.960941i</v>
      </c>
      <c r="FN237" s="1">
        <f t="shared" ref="FN237:FN250" si="58">DW240</f>
        <v>47.4</v>
      </c>
      <c r="FO237" s="1">
        <f t="shared" ref="FO237:FO250" si="59">IMABS(EG240)</f>
        <v>50.616164173421616</v>
      </c>
    </row>
    <row r="238" spans="127:171" x14ac:dyDescent="0.25">
      <c r="DW238" s="1">
        <f t="shared" si="50"/>
        <v>47</v>
      </c>
      <c r="DX238" s="12" t="str">
        <f t="shared" si="55"/>
        <v>0.0001-0.574398i</v>
      </c>
      <c r="DY238" s="13" t="str">
        <f t="shared" si="48"/>
        <v>0.000000001</v>
      </c>
      <c r="DZ238" s="13" t="str">
        <f t="shared" si="51"/>
        <v>0.010799+50.753766i</v>
      </c>
      <c r="EA238" s="14" t="str">
        <f t="shared" si="52"/>
        <v>5399336805.55556+0.0001i</v>
      </c>
      <c r="EC238" s="1" t="str">
        <f t="shared" si="49"/>
        <v>0.010799001+50.753766i</v>
      </c>
      <c r="ED238" s="1" t="str">
        <f t="shared" si="53"/>
        <v>58307443.557456+274036676784.354i</v>
      </c>
      <c r="EE238" s="1" t="str">
        <f t="shared" si="54"/>
        <v>5399336805.56636+50.753866i</v>
      </c>
      <c r="EF238" s="1" t="str">
        <f t="shared" si="56"/>
        <v>0.010799+50.753766i</v>
      </c>
      <c r="EG238" s="1" t="str">
        <f t="shared" si="57"/>
        <v>0.010899+50.179368i</v>
      </c>
      <c r="FN238" s="1">
        <f t="shared" si="58"/>
        <v>47.6</v>
      </c>
      <c r="FO238" s="1">
        <f t="shared" si="59"/>
        <v>50.834530168381043</v>
      </c>
    </row>
    <row r="239" spans="127:171" x14ac:dyDescent="0.25">
      <c r="DW239" s="1">
        <f t="shared" si="50"/>
        <v>47.2</v>
      </c>
      <c r="DX239" s="12" t="str">
        <f t="shared" si="55"/>
        <v>0.0001-0.571964i</v>
      </c>
      <c r="DY239" s="13" t="str">
        <f t="shared" si="48"/>
        <v>0.000000001</v>
      </c>
      <c r="DZ239" s="13" t="str">
        <f t="shared" si="51"/>
        <v>0.010799+50.969739i</v>
      </c>
      <c r="EA239" s="14" t="str">
        <f t="shared" si="52"/>
        <v>5399336805.55556+0.0001i</v>
      </c>
      <c r="EC239" s="1" t="str">
        <f t="shared" si="49"/>
        <v>0.010799001+50.969739i</v>
      </c>
      <c r="ED239" s="1" t="str">
        <f t="shared" si="53"/>
        <v>58307443.557434+275202787752.261i</v>
      </c>
      <c r="EE239" s="1" t="str">
        <f t="shared" si="54"/>
        <v>5399336805.56636+50.969839i</v>
      </c>
      <c r="EF239" s="1" t="str">
        <f t="shared" si="56"/>
        <v>0.010799+50.969739i</v>
      </c>
      <c r="EG239" s="1" t="str">
        <f t="shared" si="57"/>
        <v>0.010899+50.397775i</v>
      </c>
      <c r="FN239" s="1">
        <f t="shared" si="58"/>
        <v>47.8</v>
      </c>
      <c r="FO239" s="1">
        <f t="shared" si="59"/>
        <v>51.052877163384011</v>
      </c>
    </row>
    <row r="240" spans="127:171" x14ac:dyDescent="0.25">
      <c r="DW240" s="1">
        <f t="shared" si="50"/>
        <v>47.4</v>
      </c>
      <c r="DX240" s="12" t="str">
        <f t="shared" si="55"/>
        <v>0.0001-0.56955i</v>
      </c>
      <c r="DY240" s="13" t="str">
        <f t="shared" ref="DY240:DY253" si="60">COMPLEX(0.000000001,-1*$CL$25/DW240)</f>
        <v>0.000000001</v>
      </c>
      <c r="DZ240" s="13" t="str">
        <f t="shared" si="51"/>
        <v>0.010799+51.185713i</v>
      </c>
      <c r="EA240" s="14" t="str">
        <f t="shared" si="52"/>
        <v>5399336805.55556+0.0001i</v>
      </c>
      <c r="EC240" s="1" t="str">
        <f t="shared" ref="EC240:EC253" si="61">IMSUM(DZ240,DY240)</f>
        <v>0.010799001+51.185713i</v>
      </c>
      <c r="ED240" s="1" t="str">
        <f t="shared" si="53"/>
        <v>58307443.557413+276368904119.504i</v>
      </c>
      <c r="EE240" s="1" t="str">
        <f t="shared" si="54"/>
        <v>5399336805.56636+51.185813i</v>
      </c>
      <c r="EF240" s="1" t="str">
        <f t="shared" si="56"/>
        <v>0.010799+51.185713i</v>
      </c>
      <c r="EG240" s="1" t="str">
        <f t="shared" si="57"/>
        <v>0.010899+50.616163i</v>
      </c>
      <c r="FN240" s="1">
        <f t="shared" si="58"/>
        <v>48</v>
      </c>
      <c r="FO240" s="1">
        <f t="shared" si="59"/>
        <v>51.271203158430019</v>
      </c>
    </row>
    <row r="241" spans="127:171" x14ac:dyDescent="0.25">
      <c r="DW241" s="1">
        <f t="shared" si="50"/>
        <v>47.6</v>
      </c>
      <c r="DX241" s="12" t="str">
        <f t="shared" si="55"/>
        <v>0.0001-0.567157i</v>
      </c>
      <c r="DY241" s="13" t="str">
        <f t="shared" si="60"/>
        <v>0.000000001</v>
      </c>
      <c r="DZ241" s="13" t="str">
        <f t="shared" si="51"/>
        <v>0.010799+51.401686i</v>
      </c>
      <c r="EA241" s="14" t="str">
        <f t="shared" si="52"/>
        <v>5399336805.55556+0.0001i</v>
      </c>
      <c r="EC241" s="1" t="str">
        <f t="shared" si="61"/>
        <v>0.010799001+51.401686i</v>
      </c>
      <c r="ED241" s="1" t="str">
        <f t="shared" si="53"/>
        <v>58307443.557391+277535015087.41i</v>
      </c>
      <c r="EE241" s="1" t="str">
        <f t="shared" si="54"/>
        <v>5399336805.56636+51.401786i</v>
      </c>
      <c r="EF241" s="1" t="str">
        <f t="shared" si="56"/>
        <v>0.010799+51.401686i</v>
      </c>
      <c r="EG241" s="1" t="str">
        <f t="shared" si="57"/>
        <v>0.010899+50.834529i</v>
      </c>
      <c r="FN241" s="1">
        <f t="shared" si="58"/>
        <v>48.2</v>
      </c>
      <c r="FO241" s="1">
        <f t="shared" si="59"/>
        <v>51.489511153730135</v>
      </c>
    </row>
    <row r="242" spans="127:171" x14ac:dyDescent="0.25">
      <c r="DW242" s="1">
        <f t="shared" ref="DW242:DW253" si="62">ROUND(DW241+0.2,1)</f>
        <v>47.8</v>
      </c>
      <c r="DX242" s="12" t="str">
        <f t="shared" si="55"/>
        <v>0.0001-0.564784i</v>
      </c>
      <c r="DY242" s="13" t="str">
        <f t="shared" si="60"/>
        <v>0.000000001</v>
      </c>
      <c r="DZ242" s="13" t="str">
        <f t="shared" si="51"/>
        <v>0.010799+51.61766i</v>
      </c>
      <c r="EA242" s="14" t="str">
        <f t="shared" si="52"/>
        <v>5399336805.55556+0.0001i</v>
      </c>
      <c r="EC242" s="1" t="str">
        <f t="shared" si="61"/>
        <v>0.010799001+51.61766i</v>
      </c>
      <c r="ED242" s="1" t="str">
        <f t="shared" si="53"/>
        <v>58307443.55737+278701131454.653i</v>
      </c>
      <c r="EE242" s="1" t="str">
        <f t="shared" si="54"/>
        <v>5399336805.56636+51.61776i</v>
      </c>
      <c r="EF242" s="1" t="str">
        <f t="shared" si="56"/>
        <v>0.010799+51.61766i</v>
      </c>
      <c r="EG242" s="1" t="str">
        <f t="shared" si="57"/>
        <v>0.010899+51.052876i</v>
      </c>
      <c r="FN242" s="1">
        <f t="shared" si="58"/>
        <v>48.4</v>
      </c>
      <c r="FO242" s="1">
        <f t="shared" si="59"/>
        <v>51.707798148859602</v>
      </c>
    </row>
    <row r="243" spans="127:171" x14ac:dyDescent="0.25">
      <c r="DW243" s="1">
        <f t="shared" si="62"/>
        <v>48</v>
      </c>
      <c r="DX243" s="12" t="str">
        <f t="shared" si="55"/>
        <v>0.0001-0.562431i</v>
      </c>
      <c r="DY243" s="13" t="str">
        <f t="shared" si="60"/>
        <v>0.000000001</v>
      </c>
      <c r="DZ243" s="13" t="str">
        <f t="shared" si="51"/>
        <v>0.010799+51.833633i</v>
      </c>
      <c r="EA243" s="14" t="str">
        <f t="shared" si="52"/>
        <v>5399336805.55556+0.0001i</v>
      </c>
      <c r="EC243" s="1" t="str">
        <f t="shared" si="61"/>
        <v>0.010799001+51.833633i</v>
      </c>
      <c r="ED243" s="1" t="str">
        <f t="shared" si="53"/>
        <v>58307443.557348+279867242422.559i</v>
      </c>
      <c r="EE243" s="1" t="str">
        <f t="shared" si="54"/>
        <v>5399336805.56636+51.833733i</v>
      </c>
      <c r="EF243" s="1" t="str">
        <f t="shared" si="56"/>
        <v>0.010799+51.833633i</v>
      </c>
      <c r="EG243" s="1" t="str">
        <f t="shared" si="57"/>
        <v>0.010899+51.271202i</v>
      </c>
      <c r="FN243" s="1">
        <f t="shared" si="58"/>
        <v>48.6</v>
      </c>
      <c r="FO243" s="1">
        <f t="shared" si="59"/>
        <v>51.92606814403041</v>
      </c>
    </row>
    <row r="244" spans="127:171" x14ac:dyDescent="0.25">
      <c r="DW244" s="1">
        <f t="shared" si="62"/>
        <v>48.2</v>
      </c>
      <c r="DX244" s="12" t="str">
        <f t="shared" si="55"/>
        <v>0.0001-0.560097i</v>
      </c>
      <c r="DY244" s="13" t="str">
        <f t="shared" si="60"/>
        <v>0.000000001</v>
      </c>
      <c r="DZ244" s="13" t="str">
        <f t="shared" si="51"/>
        <v>0.010799+52.049607i</v>
      </c>
      <c r="EA244" s="14" t="str">
        <f t="shared" si="52"/>
        <v>5399336805.55556+0.0001i</v>
      </c>
      <c r="EC244" s="1" t="str">
        <f t="shared" si="61"/>
        <v>0.010799001+52.049607i</v>
      </c>
      <c r="ED244" s="1" t="str">
        <f t="shared" si="53"/>
        <v>58307443.557326+281033358789.802i</v>
      </c>
      <c r="EE244" s="1" t="str">
        <f t="shared" si="54"/>
        <v>5399336805.56636+52.049707i</v>
      </c>
      <c r="EF244" s="1" t="str">
        <f t="shared" si="56"/>
        <v>0.0108+52.049607i</v>
      </c>
      <c r="EG244" s="1" t="str">
        <f t="shared" si="57"/>
        <v>0.0109+51.48951i</v>
      </c>
      <c r="FN244" s="1">
        <f t="shared" si="58"/>
        <v>48.8</v>
      </c>
      <c r="FO244" s="1">
        <f t="shared" si="59"/>
        <v>52.144317139242091</v>
      </c>
    </row>
    <row r="245" spans="127:171" x14ac:dyDescent="0.25">
      <c r="DW245" s="1">
        <f t="shared" si="62"/>
        <v>48.4</v>
      </c>
      <c r="DX245" s="12" t="str">
        <f t="shared" si="55"/>
        <v>0.0001-0.557783i</v>
      </c>
      <c r="DY245" s="13" t="str">
        <f t="shared" si="60"/>
        <v>0.000000001</v>
      </c>
      <c r="DZ245" s="13" t="str">
        <f t="shared" si="51"/>
        <v>0.010799+52.26558i</v>
      </c>
      <c r="EA245" s="14" t="str">
        <f t="shared" si="52"/>
        <v>5399336805.55556+0.0001i</v>
      </c>
      <c r="EC245" s="1" t="str">
        <f t="shared" si="61"/>
        <v>0.010799001+52.26558i</v>
      </c>
      <c r="ED245" s="1" t="str">
        <f t="shared" si="53"/>
        <v>58307443.557305+282199469757.709i</v>
      </c>
      <c r="EE245" s="1" t="str">
        <f t="shared" si="54"/>
        <v>5399336805.56636+52.26568i</v>
      </c>
      <c r="EF245" s="1" t="str">
        <f t="shared" si="56"/>
        <v>0.0108+52.26558i</v>
      </c>
      <c r="EG245" s="1" t="str">
        <f t="shared" si="57"/>
        <v>0.0109+51.707797i</v>
      </c>
      <c r="FN245" s="1">
        <f t="shared" si="58"/>
        <v>49</v>
      </c>
      <c r="FO245" s="1">
        <f t="shared" si="59"/>
        <v>52.362549134494046</v>
      </c>
    </row>
    <row r="246" spans="127:171" x14ac:dyDescent="0.25">
      <c r="DW246" s="1">
        <f t="shared" si="62"/>
        <v>48.6</v>
      </c>
      <c r="DX246" s="12" t="str">
        <f t="shared" si="55"/>
        <v>0.0001-0.555487i</v>
      </c>
      <c r="DY246" s="13" t="str">
        <f t="shared" si="60"/>
        <v>0.000000001</v>
      </c>
      <c r="DZ246" s="13" t="str">
        <f t="shared" si="51"/>
        <v>0.010799+52.481554i</v>
      </c>
      <c r="EA246" s="14" t="str">
        <f t="shared" si="52"/>
        <v>5399336805.55556+0.0001i</v>
      </c>
      <c r="EC246" s="1" t="str">
        <f t="shared" si="61"/>
        <v>0.010799001+52.481554i</v>
      </c>
      <c r="ED246" s="1" t="str">
        <f t="shared" si="53"/>
        <v>58307443.557283+283365586124.952i</v>
      </c>
      <c r="EE246" s="1" t="str">
        <f t="shared" si="54"/>
        <v>5399336805.56636+52.481654i</v>
      </c>
      <c r="EF246" s="1" t="str">
        <f t="shared" si="56"/>
        <v>0.0108+52.481554i</v>
      </c>
      <c r="EG246" s="1" t="str">
        <f t="shared" si="57"/>
        <v>0.0109+51.926067i</v>
      </c>
      <c r="FN246" s="1">
        <f t="shared" si="58"/>
        <v>49.2</v>
      </c>
      <c r="FO246" s="1">
        <f t="shared" si="59"/>
        <v>52.580762129785846</v>
      </c>
    </row>
    <row r="247" spans="127:171" x14ac:dyDescent="0.25">
      <c r="DW247" s="1">
        <f t="shared" si="62"/>
        <v>48.8</v>
      </c>
      <c r="DX247" s="12" t="str">
        <f t="shared" si="55"/>
        <v>0.0001-0.553211i</v>
      </c>
      <c r="DY247" s="13" t="str">
        <f t="shared" si="60"/>
        <v>0.000000001</v>
      </c>
      <c r="DZ247" s="13" t="str">
        <f t="shared" si="51"/>
        <v>0.010799+52.697527i</v>
      </c>
      <c r="EA247" s="14" t="str">
        <f t="shared" si="52"/>
        <v>5399336805.55556+0.0001i</v>
      </c>
      <c r="EC247" s="1" t="str">
        <f t="shared" si="61"/>
        <v>0.010799001+52.697527i</v>
      </c>
      <c r="ED247" s="1" t="str">
        <f t="shared" si="53"/>
        <v>58307443.557262+284531697092.858i</v>
      </c>
      <c r="EE247" s="1" t="str">
        <f t="shared" si="54"/>
        <v>5399336805.56636+52.697627i</v>
      </c>
      <c r="EF247" s="1" t="str">
        <f t="shared" si="56"/>
        <v>0.0108+52.697527i</v>
      </c>
      <c r="EG247" s="1" t="str">
        <f t="shared" si="57"/>
        <v>0.0109+52.144316i</v>
      </c>
      <c r="FN247" s="1">
        <f t="shared" si="58"/>
        <v>49.4</v>
      </c>
      <c r="FO247" s="1">
        <f t="shared" si="59"/>
        <v>52.798957125116935</v>
      </c>
    </row>
    <row r="248" spans="127:171" x14ac:dyDescent="0.25">
      <c r="DW248" s="1">
        <f t="shared" si="62"/>
        <v>49</v>
      </c>
      <c r="DX248" s="12" t="str">
        <f t="shared" si="55"/>
        <v>0.0001-0.550953i</v>
      </c>
      <c r="DY248" s="13" t="str">
        <f t="shared" si="60"/>
        <v>0.000000001</v>
      </c>
      <c r="DZ248" s="13" t="str">
        <f t="shared" si="51"/>
        <v>0.010799+52.913501i</v>
      </c>
      <c r="EA248" s="14" t="str">
        <f t="shared" si="52"/>
        <v>5399336805.55556+0.0001i</v>
      </c>
      <c r="EC248" s="1" t="str">
        <f t="shared" si="61"/>
        <v>0.010799001+52.913501i</v>
      </c>
      <c r="ED248" s="1" t="str">
        <f t="shared" si="53"/>
        <v>58307443.55724+285697813460.101i</v>
      </c>
      <c r="EE248" s="1" t="str">
        <f t="shared" si="54"/>
        <v>5399336805.56636+52.913601i</v>
      </c>
      <c r="EF248" s="1" t="str">
        <f t="shared" si="56"/>
        <v>0.0108+52.913501i</v>
      </c>
      <c r="EG248" s="1" t="str">
        <f t="shared" si="57"/>
        <v>0.0109+52.362548i</v>
      </c>
      <c r="FN248" s="1">
        <f t="shared" si="58"/>
        <v>49.6</v>
      </c>
      <c r="FO248" s="1">
        <f t="shared" si="59"/>
        <v>53.01713412048683</v>
      </c>
    </row>
    <row r="249" spans="127:171" x14ac:dyDescent="0.25">
      <c r="DW249" s="1">
        <f t="shared" si="62"/>
        <v>49.2</v>
      </c>
      <c r="DX249" s="12" t="str">
        <f t="shared" si="55"/>
        <v>0.0001-0.548713i</v>
      </c>
      <c r="DY249" s="13" t="str">
        <f t="shared" si="60"/>
        <v>0.000000001</v>
      </c>
      <c r="DZ249" s="13" t="str">
        <f t="shared" si="51"/>
        <v>0.010799+53.129474i</v>
      </c>
      <c r="EA249" s="14" t="str">
        <f t="shared" si="52"/>
        <v>5399336805.55556+0.0001i</v>
      </c>
      <c r="EC249" s="1" t="str">
        <f t="shared" si="61"/>
        <v>0.010799001+53.129474i</v>
      </c>
      <c r="ED249" s="1" t="str">
        <f t="shared" si="53"/>
        <v>58307443.557218+286863924428.007i</v>
      </c>
      <c r="EE249" s="1" t="str">
        <f t="shared" si="54"/>
        <v>5399336805.56636+53.129574i</v>
      </c>
      <c r="EF249" s="1" t="str">
        <f t="shared" si="56"/>
        <v>0.0108+53.129474i</v>
      </c>
      <c r="EG249" s="1" t="str">
        <f t="shared" si="57"/>
        <v>0.0109+52.580761i</v>
      </c>
      <c r="FN249" s="1">
        <f t="shared" si="58"/>
        <v>49.8</v>
      </c>
      <c r="FO249" s="1">
        <f t="shared" si="59"/>
        <v>53.235294115895037</v>
      </c>
    </row>
    <row r="250" spans="127:171" x14ac:dyDescent="0.25">
      <c r="DW250" s="1">
        <f t="shared" si="62"/>
        <v>49.4</v>
      </c>
      <c r="DX250" s="12" t="str">
        <f t="shared" si="55"/>
        <v>0.0001-0.546492i</v>
      </c>
      <c r="DY250" s="13" t="str">
        <f t="shared" si="60"/>
        <v>0.000000001</v>
      </c>
      <c r="DZ250" s="13" t="str">
        <f t="shared" si="51"/>
        <v>0.010799+53.345448i</v>
      </c>
      <c r="EA250" s="14" t="str">
        <f t="shared" si="52"/>
        <v>5399336805.55556+0.0001i</v>
      </c>
      <c r="EC250" s="1" t="str">
        <f t="shared" si="61"/>
        <v>0.010799001+53.345448i</v>
      </c>
      <c r="ED250" s="1" t="str">
        <f t="shared" si="53"/>
        <v>58307443.557197+288030040795.25i</v>
      </c>
      <c r="EE250" s="1" t="str">
        <f t="shared" si="54"/>
        <v>5399336805.56636+53.345548i</v>
      </c>
      <c r="EF250" s="1" t="str">
        <f t="shared" si="56"/>
        <v>0.0108+53.345448i</v>
      </c>
      <c r="EG250" s="1" t="str">
        <f t="shared" si="57"/>
        <v>0.0109+52.798956i</v>
      </c>
      <c r="FN250" s="1">
        <f t="shared" si="58"/>
        <v>50</v>
      </c>
      <c r="FO250" s="1">
        <f t="shared" si="59"/>
        <v>53.453435111341129</v>
      </c>
    </row>
    <row r="251" spans="127:171" x14ac:dyDescent="0.25">
      <c r="DW251" s="1">
        <f t="shared" si="62"/>
        <v>49.6</v>
      </c>
      <c r="DX251" s="12" t="str">
        <f t="shared" si="55"/>
        <v>0.0001-0.544288i</v>
      </c>
      <c r="DY251" s="13" t="str">
        <f t="shared" si="60"/>
        <v>0.000000001</v>
      </c>
      <c r="DZ251" s="13" t="str">
        <f t="shared" si="51"/>
        <v>0.010799+53.561421i</v>
      </c>
      <c r="EA251" s="14" t="str">
        <f t="shared" si="52"/>
        <v>5399336805.55556+0.0001i</v>
      </c>
      <c r="EC251" s="1" t="str">
        <f t="shared" si="61"/>
        <v>0.010799001+53.561421i</v>
      </c>
      <c r="ED251" s="1" t="str">
        <f t="shared" si="53"/>
        <v>58307443.557175+289196151763.156i</v>
      </c>
      <c r="EE251" s="1" t="str">
        <f t="shared" si="54"/>
        <v>5399336805.56636+53.561521i</v>
      </c>
      <c r="EF251" s="1" t="str">
        <f t="shared" si="56"/>
        <v>0.0108+53.561421i</v>
      </c>
      <c r="EG251" s="1" t="str">
        <f t="shared" si="57"/>
        <v>0.0109+53.017133i</v>
      </c>
    </row>
    <row r="252" spans="127:171" x14ac:dyDescent="0.25">
      <c r="DW252" s="1">
        <f t="shared" si="62"/>
        <v>49.8</v>
      </c>
      <c r="DX252" s="12" t="str">
        <f t="shared" si="55"/>
        <v>0.0001-0.542102i</v>
      </c>
      <c r="DY252" s="13" t="str">
        <f t="shared" si="60"/>
        <v>0.000000001</v>
      </c>
      <c r="DZ252" s="13" t="str">
        <f t="shared" si="51"/>
        <v>0.010799+53.777395i</v>
      </c>
      <c r="EA252" s="14" t="str">
        <f t="shared" si="52"/>
        <v>5399336805.55556+0.0001i</v>
      </c>
      <c r="EC252" s="1" t="str">
        <f t="shared" si="61"/>
        <v>0.010799001+53.777395i</v>
      </c>
      <c r="ED252" s="1" t="str">
        <f t="shared" si="53"/>
        <v>58307443.557154+290362268130.4i</v>
      </c>
      <c r="EE252" s="1" t="str">
        <f t="shared" si="54"/>
        <v>5399336805.56636+53.777495i</v>
      </c>
      <c r="EF252" s="1" t="str">
        <f t="shared" si="56"/>
        <v>0.0108+53.777395i</v>
      </c>
      <c r="EG252" s="1" t="str">
        <f t="shared" si="57"/>
        <v>0.0109+53.235293i</v>
      </c>
    </row>
    <row r="253" spans="127:171" x14ac:dyDescent="0.25">
      <c r="DW253" s="1">
        <f t="shared" si="62"/>
        <v>50</v>
      </c>
      <c r="DX253" s="12" t="str">
        <f t="shared" si="55"/>
        <v>0.0001-0.539934i</v>
      </c>
      <c r="DY253" s="13" t="str">
        <f t="shared" si="60"/>
        <v>0.000000001</v>
      </c>
      <c r="DZ253" s="13" t="str">
        <f t="shared" si="51"/>
        <v>0.010799+53.993368i</v>
      </c>
      <c r="EA253" s="14" t="str">
        <f t="shared" si="52"/>
        <v>5399336805.55556+0.0001i</v>
      </c>
      <c r="EC253" s="1" t="str">
        <f t="shared" si="61"/>
        <v>0.010799001+53.993368i</v>
      </c>
      <c r="ED253" s="1" t="str">
        <f t="shared" si="53"/>
        <v>58307443.557132+291528379098.306i</v>
      </c>
      <c r="EE253" s="1" t="str">
        <f t="shared" si="54"/>
        <v>5399336805.56636+53.993468i</v>
      </c>
      <c r="EF253" s="1" t="str">
        <f t="shared" si="56"/>
        <v>0.0108+53.993368i</v>
      </c>
      <c r="EG253" s="1" t="str">
        <f t="shared" si="57"/>
        <v>0.0109+53.453434i</v>
      </c>
    </row>
    <row r="254" spans="127:171" x14ac:dyDescent="0.25">
      <c r="DX254" s="12"/>
      <c r="DY254" s="13"/>
      <c r="DZ254" s="13"/>
      <c r="EA254" s="14"/>
    </row>
    <row r="255" spans="127:171" x14ac:dyDescent="0.25">
      <c r="DX255" s="12"/>
      <c r="DY255" s="13"/>
      <c r="DZ255" s="13"/>
      <c r="EA255" s="14"/>
    </row>
    <row r="256" spans="127:171" x14ac:dyDescent="0.25">
      <c r="DX256" s="12"/>
      <c r="DY256" s="13"/>
      <c r="DZ256" s="13"/>
      <c r="EA256" s="14"/>
    </row>
    <row r="257" spans="128:148" x14ac:dyDescent="0.25">
      <c r="DX257" s="12"/>
      <c r="DY257" s="13"/>
      <c r="DZ257" s="13"/>
      <c r="EA257" s="14"/>
    </row>
    <row r="258" spans="128:148" x14ac:dyDescent="0.25">
      <c r="DX258" s="12"/>
      <c r="DY258" s="13"/>
      <c r="DZ258" s="13"/>
      <c r="EA258" s="14"/>
    </row>
    <row r="259" spans="128:148" x14ac:dyDescent="0.25">
      <c r="DY259" s="1"/>
      <c r="DZ259" s="1"/>
      <c r="EA259" s="1"/>
    </row>
    <row r="260" spans="128:148" x14ac:dyDescent="0.25">
      <c r="DY260" s="1"/>
      <c r="DZ260" s="1"/>
      <c r="EA260" s="15">
        <f>J24</f>
        <v>1</v>
      </c>
      <c r="EB260" s="15">
        <f>L24</f>
        <v>2</v>
      </c>
      <c r="EC260" s="15">
        <f>N24</f>
        <v>3</v>
      </c>
      <c r="ED260" s="15">
        <f>P24</f>
        <v>4</v>
      </c>
      <c r="EE260" s="15">
        <f>R24</f>
        <v>5</v>
      </c>
      <c r="EF260" s="15">
        <f>T24</f>
        <v>7</v>
      </c>
      <c r="EG260" s="15">
        <f>V24</f>
        <v>11</v>
      </c>
      <c r="EH260" s="15">
        <f>X24</f>
        <v>13</v>
      </c>
      <c r="EI260" s="15">
        <f>Z24</f>
        <v>17</v>
      </c>
      <c r="EJ260" s="15">
        <f>AB24</f>
        <v>19</v>
      </c>
      <c r="EK260" s="15">
        <f>AD24</f>
        <v>23</v>
      </c>
      <c r="EL260" s="15">
        <f>AF24</f>
        <v>25</v>
      </c>
      <c r="EM260" s="15">
        <f>AH24</f>
        <v>29</v>
      </c>
      <c r="EN260" s="15">
        <f>AJ24</f>
        <v>31</v>
      </c>
      <c r="EO260" s="15">
        <f>AL24</f>
        <v>35</v>
      </c>
      <c r="EP260" s="15">
        <f>AN24</f>
        <v>37</v>
      </c>
      <c r="ER260" s="57">
        <f>S28</f>
        <v>9.9600000000000009</v>
      </c>
    </row>
    <row r="261" spans="128:148" x14ac:dyDescent="0.25">
      <c r="DY261" s="1" t="s">
        <v>201</v>
      </c>
      <c r="DZ261" s="1"/>
      <c r="EA261" s="57">
        <f>O61^2</f>
        <v>56376516.146082789</v>
      </c>
      <c r="EB261" s="57">
        <f>O62^2</f>
        <v>0</v>
      </c>
      <c r="EC261" s="57">
        <f>O63^2</f>
        <v>0</v>
      </c>
      <c r="ED261" s="57">
        <f>O64^2</f>
        <v>0</v>
      </c>
      <c r="EE261" s="57">
        <f>O65^2</f>
        <v>291528.37939826888</v>
      </c>
      <c r="EF261" s="57">
        <f>O66^2</f>
        <v>95192.940211679626</v>
      </c>
      <c r="EG261" s="57">
        <f>O67^2</f>
        <v>21683.92904615224</v>
      </c>
      <c r="EH261" s="57">
        <f>68^2</f>
        <v>4624</v>
      </c>
      <c r="EI261" s="57">
        <f>O69^2</f>
        <v>1008.7487176410688</v>
      </c>
      <c r="EJ261" s="59">
        <f>O70^2</f>
        <v>201.88945941708369</v>
      </c>
      <c r="EK261" s="59">
        <f>O71^2</f>
        <v>137.77333619955996</v>
      </c>
      <c r="EL261" s="59">
        <f>O72^2</f>
        <v>116.61135175930752</v>
      </c>
      <c r="EM261" s="60">
        <f>O73^2</f>
        <v>0</v>
      </c>
      <c r="EN261" s="59">
        <f>O74^2</f>
        <v>0</v>
      </c>
      <c r="EO261" s="60">
        <f>O75^2</f>
        <v>59.495587632299767</v>
      </c>
      <c r="EP261" s="59">
        <f>O76^2</f>
        <v>53.237468845556776</v>
      </c>
    </row>
    <row r="262" spans="128:148" x14ac:dyDescent="0.25">
      <c r="DY262" s="1" t="s">
        <v>202</v>
      </c>
      <c r="DZ262" s="1"/>
      <c r="EA262" s="1">
        <f>J25*J25</f>
        <v>77353.040225376506</v>
      </c>
      <c r="EB262" s="1">
        <f>L25*L25</f>
        <v>0</v>
      </c>
      <c r="EC262" s="1">
        <f>N25*N25</f>
        <v>0</v>
      </c>
      <c r="ED262" s="1">
        <f>P25*P25</f>
        <v>0</v>
      </c>
      <c r="EE262" s="1">
        <f>R25*R25</f>
        <v>10000</v>
      </c>
      <c r="EF262" s="1">
        <f>T25*T25</f>
        <v>6400</v>
      </c>
      <c r="EG262" s="1">
        <f>V25*V25</f>
        <v>3600</v>
      </c>
      <c r="EH262" s="1">
        <f>X25*X25</f>
        <v>900</v>
      </c>
      <c r="EI262" s="1">
        <f>Z25*Z25</f>
        <v>400</v>
      </c>
      <c r="EJ262" s="1">
        <f>AB25*AB25</f>
        <v>100</v>
      </c>
      <c r="EK262" s="1">
        <f>AD25*AD25</f>
        <v>100</v>
      </c>
      <c r="EL262" s="1">
        <f>AF25*AF25</f>
        <v>100</v>
      </c>
      <c r="EM262" s="1">
        <f>AH25*AH25</f>
        <v>0</v>
      </c>
      <c r="EN262" s="1">
        <f>AJ25*AJ25</f>
        <v>0</v>
      </c>
      <c r="EO262" s="1">
        <f>AL25*AL25</f>
        <v>100</v>
      </c>
      <c r="EP262" s="1">
        <f>AN25*AN25</f>
        <v>100</v>
      </c>
      <c r="ER262" s="1">
        <f>1.414*S28</f>
        <v>14.083440000000001</v>
      </c>
    </row>
    <row r="263" spans="128:148" x14ac:dyDescent="0.25">
      <c r="DY263" s="1" t="s">
        <v>203</v>
      </c>
      <c r="DZ263" s="1"/>
      <c r="EA263" s="1">
        <f t="shared" ref="EA263:EP263" si="63">EA262*$AJ$30/(EA260*1000)</f>
        <v>2088.2755855524747</v>
      </c>
      <c r="EB263" s="1">
        <f t="shared" si="63"/>
        <v>0</v>
      </c>
      <c r="EC263" s="1">
        <f t="shared" si="63"/>
        <v>0</v>
      </c>
      <c r="ED263" s="1">
        <f t="shared" si="63"/>
        <v>0</v>
      </c>
      <c r="EE263" s="1">
        <f t="shared" si="63"/>
        <v>53.993368055555571</v>
      </c>
      <c r="EF263" s="1">
        <f t="shared" si="63"/>
        <v>24.682682539682549</v>
      </c>
      <c r="EG263" s="1">
        <f t="shared" si="63"/>
        <v>8.8352784090909111</v>
      </c>
      <c r="EH263" s="1">
        <f t="shared" si="63"/>
        <v>1.8690012019230775</v>
      </c>
      <c r="EI263" s="1">
        <f t="shared" si="63"/>
        <v>0.63521609477124208</v>
      </c>
      <c r="EJ263" s="1">
        <f t="shared" si="63"/>
        <v>0.14208781067251466</v>
      </c>
      <c r="EK263" s="1">
        <f t="shared" si="63"/>
        <v>0.11737688707729473</v>
      </c>
      <c r="EL263" s="1">
        <f t="shared" si="63"/>
        <v>0.10798673611111115</v>
      </c>
      <c r="EM263" s="1">
        <f t="shared" si="63"/>
        <v>0</v>
      </c>
      <c r="EN263" s="1">
        <f t="shared" si="63"/>
        <v>0</v>
      </c>
      <c r="EO263" s="1">
        <f t="shared" si="63"/>
        <v>7.7133382936507969E-2</v>
      </c>
      <c r="EP263" s="1">
        <f t="shared" si="63"/>
        <v>7.2964010885885916E-2</v>
      </c>
      <c r="ER263" s="1">
        <f>AJ28/S28</f>
        <v>73.786839818933515</v>
      </c>
    </row>
    <row r="264" spans="128:148" x14ac:dyDescent="0.25">
      <c r="DY264" s="1"/>
      <c r="DZ264" s="1"/>
      <c r="EA264" s="1"/>
      <c r="ER264" s="15">
        <f>AJ28*S29</f>
        <v>3674.5846229828894</v>
      </c>
    </row>
    <row r="265" spans="128:148" x14ac:dyDescent="0.25">
      <c r="DY265" s="1"/>
      <c r="DZ265" s="1"/>
      <c r="EA265" s="1"/>
    </row>
    <row r="266" spans="128:148" x14ac:dyDescent="0.25">
      <c r="DY266" s="1"/>
      <c r="DZ266" s="1"/>
      <c r="EA266" s="1"/>
    </row>
    <row r="267" spans="128:148" x14ac:dyDescent="0.25">
      <c r="DY267" s="1"/>
      <c r="DZ267" s="1"/>
      <c r="EA267" s="1"/>
    </row>
    <row r="268" spans="128:148" x14ac:dyDescent="0.25">
      <c r="DY268" s="1"/>
      <c r="DZ268" s="1"/>
      <c r="EA268" s="1"/>
    </row>
    <row r="269" spans="128:148" x14ac:dyDescent="0.25">
      <c r="DY269" s="1"/>
      <c r="DZ269" s="1"/>
      <c r="EA269" s="1"/>
    </row>
    <row r="270" spans="128:148" x14ac:dyDescent="0.25">
      <c r="DY270" s="1"/>
      <c r="DZ270" s="1"/>
      <c r="EA270" s="1"/>
    </row>
    <row r="271" spans="128:148" x14ac:dyDescent="0.25">
      <c r="DY271" s="1"/>
      <c r="DZ271" s="1"/>
      <c r="EA271" s="1"/>
    </row>
    <row r="272" spans="128:148" x14ac:dyDescent="0.25">
      <c r="DY272" s="1" t="s">
        <v>11</v>
      </c>
      <c r="DZ272" s="1"/>
      <c r="EA272" s="53" t="s">
        <v>11</v>
      </c>
    </row>
    <row r="273" spans="129:150" x14ac:dyDescent="0.25">
      <c r="DY273" s="1"/>
      <c r="DZ273" s="1"/>
      <c r="EA273" s="1"/>
    </row>
    <row r="274" spans="129:150" x14ac:dyDescent="0.25">
      <c r="DY274" s="1" t="s">
        <v>204</v>
      </c>
      <c r="DZ274" s="1"/>
      <c r="EA274" s="15">
        <f>J24</f>
        <v>1</v>
      </c>
      <c r="EB274" s="15">
        <f>L24</f>
        <v>2</v>
      </c>
      <c r="EC274" s="15">
        <f>N24</f>
        <v>3</v>
      </c>
      <c r="ED274" s="15">
        <f>P24</f>
        <v>4</v>
      </c>
      <c r="EE274" s="15">
        <f>R24</f>
        <v>5</v>
      </c>
      <c r="EF274" s="15">
        <f>T24</f>
        <v>7</v>
      </c>
      <c r="EG274" s="15">
        <f>V24</f>
        <v>11</v>
      </c>
      <c r="EH274" s="15">
        <f>X24</f>
        <v>13</v>
      </c>
      <c r="EI274" s="15">
        <f>Z24</f>
        <v>17</v>
      </c>
      <c r="EJ274" s="15">
        <f>AB24</f>
        <v>19</v>
      </c>
      <c r="EK274" s="15">
        <f>AD24</f>
        <v>23</v>
      </c>
      <c r="EL274" s="15">
        <f>AF24</f>
        <v>25</v>
      </c>
      <c r="EM274" s="15">
        <f>AH24</f>
        <v>29</v>
      </c>
      <c r="EN274" s="15">
        <f>AJ24</f>
        <v>31</v>
      </c>
      <c r="EO274" s="15">
        <f>AL24</f>
        <v>35</v>
      </c>
      <c r="EP274" s="15">
        <f>AN24</f>
        <v>37</v>
      </c>
      <c r="EQ274" s="1" t="s">
        <v>11</v>
      </c>
      <c r="ER274" s="1" t="s">
        <v>11</v>
      </c>
      <c r="ES274" s="1" t="s">
        <v>11</v>
      </c>
      <c r="ET274" s="1" t="s">
        <v>11</v>
      </c>
    </row>
    <row r="275" spans="129:150" x14ac:dyDescent="0.25">
      <c r="DY275" s="1" t="s">
        <v>205</v>
      </c>
      <c r="DZ275" s="1"/>
      <c r="EA275" s="15">
        <f>J25</f>
        <v>278.12414534767834</v>
      </c>
      <c r="EB275" s="15">
        <f>L25</f>
        <v>0</v>
      </c>
      <c r="EC275" s="15">
        <f>N25</f>
        <v>0</v>
      </c>
      <c r="ED275" s="15">
        <f>P25</f>
        <v>0</v>
      </c>
      <c r="EE275" s="15">
        <f>R25</f>
        <v>100</v>
      </c>
      <c r="EF275" s="15">
        <f>T25</f>
        <v>80</v>
      </c>
      <c r="EG275" s="15">
        <f>V25</f>
        <v>60</v>
      </c>
      <c r="EH275" s="15">
        <f>X25</f>
        <v>30</v>
      </c>
      <c r="EI275" s="15">
        <f>Z25</f>
        <v>20</v>
      </c>
      <c r="EJ275" s="15">
        <f>AB25</f>
        <v>10</v>
      </c>
      <c r="EK275" s="15">
        <f>AD25</f>
        <v>10</v>
      </c>
      <c r="EL275" s="15">
        <f>AF25</f>
        <v>10</v>
      </c>
      <c r="EM275" s="15">
        <f>AH25</f>
        <v>0</v>
      </c>
      <c r="EN275" s="15">
        <f>AJ25</f>
        <v>0</v>
      </c>
      <c r="EO275" s="15">
        <f>AL25</f>
        <v>10</v>
      </c>
      <c r="EP275" s="15">
        <f>AN25</f>
        <v>10</v>
      </c>
    </row>
    <row r="276" spans="129:150" x14ac:dyDescent="0.25">
      <c r="DY276" s="1" t="s">
        <v>206</v>
      </c>
      <c r="DZ276" s="1"/>
      <c r="EA276" s="53">
        <f t="shared" ref="EA276:EP276" si="64">1/SQRT((1/$IJ$37^2)+(1/($AJ$34*EA274)^2))</f>
        <v>1.0798673611111114</v>
      </c>
      <c r="EB276" s="53">
        <f t="shared" si="64"/>
        <v>2.1597347222222227</v>
      </c>
      <c r="EC276" s="53">
        <f t="shared" si="64"/>
        <v>3.2396020833333337</v>
      </c>
      <c r="ED276" s="53">
        <f t="shared" si="64"/>
        <v>4.3194694444444455</v>
      </c>
      <c r="EE276" s="53">
        <f t="shared" si="64"/>
        <v>5.3993368055555564</v>
      </c>
      <c r="EF276" s="53">
        <f t="shared" si="64"/>
        <v>7.5590715277777791</v>
      </c>
      <c r="EG276" s="53">
        <f t="shared" si="64"/>
        <v>11.878540972222227</v>
      </c>
      <c r="EH276" s="53">
        <f t="shared" si="64"/>
        <v>14.038275694444449</v>
      </c>
      <c r="EI276" s="53">
        <f t="shared" si="64"/>
        <v>18.357745138888895</v>
      </c>
      <c r="EJ276" s="53">
        <f t="shared" si="64"/>
        <v>20.517479861111116</v>
      </c>
      <c r="EK276" s="53">
        <f t="shared" si="64"/>
        <v>24.83694930555556</v>
      </c>
      <c r="EL276" s="53">
        <f t="shared" si="64"/>
        <v>26.996684027777786</v>
      </c>
      <c r="EM276" s="53">
        <f t="shared" si="64"/>
        <v>31.316153472222229</v>
      </c>
      <c r="EN276" s="53">
        <f t="shared" si="64"/>
        <v>33.475888194444451</v>
      </c>
      <c r="EO276" s="53">
        <f t="shared" si="64"/>
        <v>37.795357638888895</v>
      </c>
      <c r="EP276" s="53">
        <f t="shared" si="64"/>
        <v>39.955092361111127</v>
      </c>
    </row>
    <row r="277" spans="129:150" x14ac:dyDescent="0.25">
      <c r="DY277" s="1" t="s">
        <v>207</v>
      </c>
      <c r="DZ277" s="1"/>
      <c r="EA277" s="57">
        <f t="shared" ref="EA277:EP277" si="65">(EA276*EA275)/(EA274*$AJ$34)</f>
        <v>278.12414534767834</v>
      </c>
      <c r="EB277" s="57">
        <f t="shared" si="65"/>
        <v>0</v>
      </c>
      <c r="EC277" s="57">
        <f t="shared" si="65"/>
        <v>0</v>
      </c>
      <c r="ED277" s="57">
        <f t="shared" si="65"/>
        <v>0</v>
      </c>
      <c r="EE277" s="57">
        <f t="shared" si="65"/>
        <v>100</v>
      </c>
      <c r="EF277" s="57">
        <f t="shared" si="65"/>
        <v>79.999999999999986</v>
      </c>
      <c r="EG277" s="57">
        <f t="shared" si="65"/>
        <v>60.000000000000007</v>
      </c>
      <c r="EH277" s="57">
        <f t="shared" si="65"/>
        <v>30.000000000000004</v>
      </c>
      <c r="EI277" s="57">
        <f t="shared" si="65"/>
        <v>20</v>
      </c>
      <c r="EJ277" s="57">
        <f t="shared" si="65"/>
        <v>10</v>
      </c>
      <c r="EK277" s="57">
        <f t="shared" si="65"/>
        <v>10</v>
      </c>
      <c r="EL277" s="57">
        <f t="shared" si="65"/>
        <v>10</v>
      </c>
      <c r="EM277" s="57">
        <f t="shared" si="65"/>
        <v>0</v>
      </c>
      <c r="EN277" s="57">
        <f t="shared" si="65"/>
        <v>0</v>
      </c>
      <c r="EO277" s="57">
        <f t="shared" si="65"/>
        <v>10</v>
      </c>
      <c r="EP277" s="57">
        <f t="shared" si="65"/>
        <v>10.000000000000002</v>
      </c>
    </row>
    <row r="278" spans="129:150" x14ac:dyDescent="0.25">
      <c r="DY278" s="1" t="s">
        <v>208</v>
      </c>
      <c r="DZ278" s="1"/>
      <c r="EA278" s="57">
        <f t="shared" ref="EA278:EP278" si="66">(EA275*EA276)/$IJ$37</f>
        <v>5.5624829069535666E-8</v>
      </c>
      <c r="EB278" s="57">
        <f t="shared" si="66"/>
        <v>0</v>
      </c>
      <c r="EC278" s="57">
        <f t="shared" si="66"/>
        <v>0</v>
      </c>
      <c r="ED278" s="57">
        <f t="shared" si="66"/>
        <v>0</v>
      </c>
      <c r="EE278" s="57">
        <f t="shared" si="66"/>
        <v>9.9999999999999982E-8</v>
      </c>
      <c r="EF278" s="57">
        <f t="shared" si="66"/>
        <v>1.1199999999999998E-7</v>
      </c>
      <c r="EG278" s="57">
        <f t="shared" si="66"/>
        <v>1.3200000000000002E-7</v>
      </c>
      <c r="EH278" s="57">
        <f t="shared" si="66"/>
        <v>7.7999999999999997E-8</v>
      </c>
      <c r="EI278" s="57">
        <f t="shared" si="66"/>
        <v>6.8E-8</v>
      </c>
      <c r="EJ278" s="57">
        <f t="shared" si="66"/>
        <v>3.7999999999999996E-8</v>
      </c>
      <c r="EK278" s="57">
        <f t="shared" si="66"/>
        <v>4.5999999999999995E-8</v>
      </c>
      <c r="EL278" s="57">
        <f t="shared" si="66"/>
        <v>4.9999999999999998E-8</v>
      </c>
      <c r="EM278" s="57">
        <f t="shared" si="66"/>
        <v>0</v>
      </c>
      <c r="EN278" s="57">
        <f t="shared" si="66"/>
        <v>0</v>
      </c>
      <c r="EO278" s="57">
        <f t="shared" si="66"/>
        <v>6.9999999999999992E-8</v>
      </c>
      <c r="EP278" s="57">
        <f t="shared" si="66"/>
        <v>7.4000000000000001E-8</v>
      </c>
    </row>
    <row r="279" spans="129:150" x14ac:dyDescent="0.25">
      <c r="DY279" s="1" t="s">
        <v>209</v>
      </c>
      <c r="DZ279" s="1"/>
      <c r="EA279" s="57">
        <f t="shared" ref="EA279:EP279" si="67">EA278*EA278*$IJ$37</f>
        <v>1.6706204684419796E-5</v>
      </c>
      <c r="EB279" s="57">
        <f t="shared" si="67"/>
        <v>0</v>
      </c>
      <c r="EC279" s="57">
        <f t="shared" si="67"/>
        <v>0</v>
      </c>
      <c r="ED279" s="57">
        <f t="shared" si="67"/>
        <v>0</v>
      </c>
      <c r="EE279" s="57">
        <f t="shared" si="67"/>
        <v>5.3993368055555552E-5</v>
      </c>
      <c r="EF279" s="57">
        <f t="shared" si="67"/>
        <v>6.7729280888888891E-5</v>
      </c>
      <c r="EG279" s="57">
        <f t="shared" si="67"/>
        <v>9.4078044500000055E-5</v>
      </c>
      <c r="EH279" s="57">
        <f t="shared" si="67"/>
        <v>3.2849565125000009E-5</v>
      </c>
      <c r="EI279" s="57">
        <f t="shared" si="67"/>
        <v>2.4966533388888899E-5</v>
      </c>
      <c r="EJ279" s="57">
        <f t="shared" si="67"/>
        <v>7.7966423472222229E-6</v>
      </c>
      <c r="EK279" s="57">
        <f t="shared" si="67"/>
        <v>1.1424996680555558E-5</v>
      </c>
      <c r="EL279" s="57">
        <f t="shared" si="67"/>
        <v>1.3498342013888891E-5</v>
      </c>
      <c r="EM279" s="57">
        <f t="shared" si="67"/>
        <v>0</v>
      </c>
      <c r="EN279" s="57">
        <f t="shared" si="67"/>
        <v>0</v>
      </c>
      <c r="EO279" s="57">
        <f t="shared" si="67"/>
        <v>2.6456750347222228E-5</v>
      </c>
      <c r="EP279" s="57">
        <f t="shared" si="67"/>
        <v>2.9566768347222229E-5</v>
      </c>
      <c r="ER279" s="57">
        <f>SUM(EB279:EP279)</f>
        <v>3.6236029169444458E-4</v>
      </c>
      <c r="ES279" s="1">
        <f>3*ER279</f>
        <v>1.0870808750833337E-3</v>
      </c>
    </row>
    <row r="280" spans="129:150" x14ac:dyDescent="0.25">
      <c r="DY280" s="1" t="s">
        <v>210</v>
      </c>
      <c r="DZ280" s="1"/>
      <c r="EA280" s="15">
        <f t="shared" ref="EA280:EP280" si="68">EA278*EA278</f>
        <v>3.0941216090150602E-15</v>
      </c>
      <c r="EB280" s="1">
        <f t="shared" si="68"/>
        <v>0</v>
      </c>
      <c r="EC280" s="1">
        <f t="shared" si="68"/>
        <v>0</v>
      </c>
      <c r="ED280" s="1">
        <f t="shared" si="68"/>
        <v>0</v>
      </c>
      <c r="EE280" s="1">
        <f t="shared" si="68"/>
        <v>9.9999999999999968E-15</v>
      </c>
      <c r="EF280" s="1">
        <f t="shared" si="68"/>
        <v>1.2543999999999997E-14</v>
      </c>
      <c r="EG280" s="1">
        <f t="shared" si="68"/>
        <v>1.7424000000000005E-14</v>
      </c>
      <c r="EH280" s="1">
        <f t="shared" si="68"/>
        <v>6.0839999999999995E-15</v>
      </c>
      <c r="EI280" s="1">
        <f t="shared" si="68"/>
        <v>4.6240000000000002E-15</v>
      </c>
      <c r="EJ280" s="1">
        <f t="shared" si="68"/>
        <v>1.4439999999999998E-15</v>
      </c>
      <c r="EK280" s="1">
        <f t="shared" si="68"/>
        <v>2.1159999999999997E-15</v>
      </c>
      <c r="EL280" s="1">
        <f t="shared" si="68"/>
        <v>2.4999999999999996E-15</v>
      </c>
      <c r="EM280" s="1">
        <f t="shared" si="68"/>
        <v>0</v>
      </c>
      <c r="EN280" s="1">
        <f t="shared" si="68"/>
        <v>0</v>
      </c>
      <c r="EO280" s="1">
        <f t="shared" si="68"/>
        <v>4.8999999999999992E-15</v>
      </c>
      <c r="EP280" s="1">
        <f t="shared" si="68"/>
        <v>5.4759999999999998E-15</v>
      </c>
      <c r="ER280" s="1" t="s">
        <v>211</v>
      </c>
      <c r="ET280" s="1">
        <f>SQRT(SUM(EA280:EP280))</f>
        <v>2.649643780001664E-7</v>
      </c>
    </row>
    <row r="281" spans="129:150" x14ac:dyDescent="0.25">
      <c r="DY281" s="1" t="s">
        <v>212</v>
      </c>
      <c r="DZ281" s="1"/>
      <c r="EA281" s="15">
        <f t="shared" ref="EA281:EP281" si="69">EA275*EA275</f>
        <v>77353.040225376506</v>
      </c>
      <c r="EB281" s="15">
        <f t="shared" si="69"/>
        <v>0</v>
      </c>
      <c r="EC281" s="15">
        <f t="shared" si="69"/>
        <v>0</v>
      </c>
      <c r="ED281" s="15">
        <f t="shared" si="69"/>
        <v>0</v>
      </c>
      <c r="EE281" s="15">
        <f t="shared" si="69"/>
        <v>10000</v>
      </c>
      <c r="EF281" s="15">
        <f t="shared" si="69"/>
        <v>6400</v>
      </c>
      <c r="EG281" s="15">
        <f t="shared" si="69"/>
        <v>3600</v>
      </c>
      <c r="EH281" s="15">
        <f t="shared" si="69"/>
        <v>900</v>
      </c>
      <c r="EI281" s="15">
        <f t="shared" si="69"/>
        <v>400</v>
      </c>
      <c r="EJ281" s="15">
        <f t="shared" si="69"/>
        <v>100</v>
      </c>
      <c r="EK281" s="15">
        <f t="shared" si="69"/>
        <v>100</v>
      </c>
      <c r="EL281" s="15">
        <f t="shared" si="69"/>
        <v>100</v>
      </c>
      <c r="EM281" s="15">
        <f t="shared" si="69"/>
        <v>0</v>
      </c>
      <c r="EN281" s="15">
        <f t="shared" si="69"/>
        <v>0</v>
      </c>
      <c r="EO281" s="15">
        <f t="shared" si="69"/>
        <v>100</v>
      </c>
      <c r="EP281" s="15">
        <f t="shared" si="69"/>
        <v>100</v>
      </c>
      <c r="ER281" s="1" t="s">
        <v>213</v>
      </c>
      <c r="ET281" s="1">
        <f>SQRT(SUM(EA281:EP281))</f>
        <v>314.88575741906226</v>
      </c>
    </row>
    <row r="282" spans="129:150" ht="17.25" x14ac:dyDescent="0.25">
      <c r="DY282" s="1" t="s">
        <v>214</v>
      </c>
      <c r="DZ282" s="1"/>
      <c r="EA282" s="15">
        <f>$AJ$34/S34*EA277*EA277</f>
        <v>835.31023422098974</v>
      </c>
      <c r="EB282" s="15">
        <f>$AJ$34/S34*EB277*EB277</f>
        <v>0</v>
      </c>
      <c r="EC282" s="15">
        <f>$AJ$34/S34*EC277*EC277</f>
        <v>0</v>
      </c>
      <c r="ED282" s="15">
        <f>$AJ$34/S34*ED277*ED277</f>
        <v>0</v>
      </c>
      <c r="EE282" s="15">
        <f>$AJ$34/S34*EE277*EE277</f>
        <v>107.98673611111114</v>
      </c>
      <c r="EF282" s="15">
        <f>$AJ$34/S34*EF277*EF277</f>
        <v>69.111511111111099</v>
      </c>
      <c r="EG282" s="15">
        <f>$AJ$34/S34*EG277*EG277</f>
        <v>38.875225000000015</v>
      </c>
      <c r="EH282" s="15">
        <f>$AJ$34/S34*EH277*EH277</f>
        <v>9.7188062500000036</v>
      </c>
      <c r="EI282" s="15">
        <f>$AJ$34/S34*EI277*EI277</f>
        <v>4.3194694444444455</v>
      </c>
      <c r="EJ282" s="15">
        <f>$AJ$34/S34*EJ277*EJ277</f>
        <v>1.0798673611111114</v>
      </c>
      <c r="EK282" s="15">
        <f>$AJ$34/S34*EK277*EK277</f>
        <v>1.0798673611111114</v>
      </c>
      <c r="EL282" s="15">
        <f>$AJ$34/S34*EL277*EL277</f>
        <v>1.0798673611111114</v>
      </c>
      <c r="EM282" s="15">
        <f>$AJ$34/S34*EM277*EM277</f>
        <v>0</v>
      </c>
      <c r="EN282" s="15">
        <f>$AJ$34/S34*EN277*EN277</f>
        <v>0</v>
      </c>
      <c r="EO282" s="15">
        <f>$AJ$34/S34*EO277*EO277</f>
        <v>1.0798673611111114</v>
      </c>
      <c r="EP282" s="15">
        <f>$AJ$34/S34*EP277*EP277</f>
        <v>1.0798673611111116</v>
      </c>
    </row>
    <row r="283" spans="129:150" x14ac:dyDescent="0.25">
      <c r="DY283" s="1"/>
      <c r="DZ283" s="1"/>
      <c r="EA283" s="1"/>
    </row>
    <row r="284" spans="129:150" x14ac:dyDescent="0.25">
      <c r="DY284" s="1"/>
      <c r="DZ284" s="1"/>
      <c r="EA284" s="1"/>
    </row>
    <row r="285" spans="129:150" x14ac:dyDescent="0.25">
      <c r="DY285" s="1"/>
      <c r="DZ285" s="1" t="s">
        <v>215</v>
      </c>
      <c r="EA285" s="1">
        <f t="shared" ref="EA285:EP285" si="70">EA277*EA277</f>
        <v>77353.040225376506</v>
      </c>
      <c r="EB285" s="1">
        <f t="shared" si="70"/>
        <v>0</v>
      </c>
      <c r="EC285" s="1">
        <f t="shared" si="70"/>
        <v>0</v>
      </c>
      <c r="ED285" s="1">
        <f t="shared" si="70"/>
        <v>0</v>
      </c>
      <c r="EE285" s="1">
        <f t="shared" si="70"/>
        <v>10000</v>
      </c>
      <c r="EF285" s="1">
        <f t="shared" si="70"/>
        <v>6399.9999999999982</v>
      </c>
      <c r="EG285" s="1">
        <f t="shared" si="70"/>
        <v>3600.0000000000009</v>
      </c>
      <c r="EH285" s="1">
        <f t="shared" si="70"/>
        <v>900.00000000000023</v>
      </c>
      <c r="EI285" s="1">
        <f t="shared" si="70"/>
        <v>400</v>
      </c>
      <c r="EJ285" s="1">
        <f t="shared" si="70"/>
        <v>100</v>
      </c>
      <c r="EK285" s="1">
        <f t="shared" si="70"/>
        <v>100</v>
      </c>
      <c r="EL285" s="1">
        <f t="shared" si="70"/>
        <v>100</v>
      </c>
      <c r="EM285" s="1">
        <f t="shared" si="70"/>
        <v>0</v>
      </c>
      <c r="EN285" s="1">
        <f t="shared" si="70"/>
        <v>0</v>
      </c>
      <c r="EO285" s="1">
        <f t="shared" si="70"/>
        <v>100</v>
      </c>
      <c r="EP285" s="1">
        <f t="shared" si="70"/>
        <v>100.00000000000003</v>
      </c>
      <c r="ER285" s="1">
        <f>SQRT(SUM(EA285:EP285))</f>
        <v>314.88575741906226</v>
      </c>
    </row>
    <row r="286" spans="129:150" x14ac:dyDescent="0.25">
      <c r="DY286" s="1"/>
      <c r="DZ286" s="1"/>
      <c r="EA286" s="1"/>
    </row>
    <row r="304" ht="44.25" customHeight="1" x14ac:dyDescent="0.25"/>
    <row r="305" ht="18.75" customHeight="1" x14ac:dyDescent="0.25"/>
  </sheetData>
  <sheetProtection algorithmName="SHA-512" hashValue="qf5pSTYGLLzLcKTunno2Pv0D1h3b9ZAtLibDNNUwzU+k7dUyAGgwHbQeFmigemFxXjZ3+DF3k34BiN3v8Z12qQ==" saltValue="GqnJe2pC6M48D6xdsw1v/g==" spinCount="100000" sheet="1" objects="1" scenarios="1"/>
  <mergeCells count="402">
    <mergeCell ref="DW1:EG1"/>
    <mergeCell ref="C7:AO8"/>
    <mergeCell ref="AS9:CE9"/>
    <mergeCell ref="BF10:BT10"/>
    <mergeCell ref="H11:W11"/>
    <mergeCell ref="AE11:AN11"/>
    <mergeCell ref="BF11:BL12"/>
    <mergeCell ref="BN11:BT12"/>
    <mergeCell ref="H12:W12"/>
    <mergeCell ref="AE12:AN12"/>
    <mergeCell ref="AT12:BD12"/>
    <mergeCell ref="GY16:HA16"/>
    <mergeCell ref="BF14:BL14"/>
    <mergeCell ref="BN14:BT14"/>
    <mergeCell ref="BV14:BZ14"/>
    <mergeCell ref="BF15:BL15"/>
    <mergeCell ref="BN15:BT15"/>
    <mergeCell ref="BV15:BZ15"/>
    <mergeCell ref="BV12:BZ12"/>
    <mergeCell ref="H13:W13"/>
    <mergeCell ref="AE13:AN13"/>
    <mergeCell ref="BF13:BL13"/>
    <mergeCell ref="BN13:BT13"/>
    <mergeCell ref="BV13:BZ13"/>
    <mergeCell ref="GM17:GP17"/>
    <mergeCell ref="E18:R18"/>
    <mergeCell ref="S18:U18"/>
    <mergeCell ref="AS18:BI18"/>
    <mergeCell ref="BJ18:BL18"/>
    <mergeCell ref="CA18:CC18"/>
    <mergeCell ref="D16:AO16"/>
    <mergeCell ref="BF16:BL16"/>
    <mergeCell ref="BN16:BT16"/>
    <mergeCell ref="BV16:BZ16"/>
    <mergeCell ref="GI16:GX16"/>
    <mergeCell ref="E19:R19"/>
    <mergeCell ref="S19:U19"/>
    <mergeCell ref="AK19:AM19"/>
    <mergeCell ref="AS19:BI19"/>
    <mergeCell ref="BJ19:BL19"/>
    <mergeCell ref="CA19:CC19"/>
    <mergeCell ref="S17:U17"/>
    <mergeCell ref="AK17:AM17"/>
    <mergeCell ref="FY17:GL17"/>
    <mergeCell ref="AK21:AM21"/>
    <mergeCell ref="AS21:BI21"/>
    <mergeCell ref="BJ21:BL21"/>
    <mergeCell ref="BM21:BO21"/>
    <mergeCell ref="AS22:BI22"/>
    <mergeCell ref="BJ22:BL22"/>
    <mergeCell ref="BM22:BO22"/>
    <mergeCell ref="E20:R20"/>
    <mergeCell ref="S20:U20"/>
    <mergeCell ref="AK20:AM20"/>
    <mergeCell ref="AS20:BI20"/>
    <mergeCell ref="BJ20:BL20"/>
    <mergeCell ref="BM20:BO20"/>
    <mergeCell ref="C23:AO23"/>
    <mergeCell ref="AS23:BI23"/>
    <mergeCell ref="BJ23:BL23"/>
    <mergeCell ref="BM23:BO23"/>
    <mergeCell ref="C24:I24"/>
    <mergeCell ref="J24:K24"/>
    <mergeCell ref="L24:M24"/>
    <mergeCell ref="N24:O24"/>
    <mergeCell ref="P24:Q24"/>
    <mergeCell ref="R24:S24"/>
    <mergeCell ref="BJ24:BL24"/>
    <mergeCell ref="BM24:BO24"/>
    <mergeCell ref="AH24:AI24"/>
    <mergeCell ref="AJ24:AK24"/>
    <mergeCell ref="AL24:AM24"/>
    <mergeCell ref="AN24:AO24"/>
    <mergeCell ref="AS24:BI24"/>
    <mergeCell ref="T25:U25"/>
    <mergeCell ref="V25:W25"/>
    <mergeCell ref="AF24:AG24"/>
    <mergeCell ref="T24:U24"/>
    <mergeCell ref="V24:W24"/>
    <mergeCell ref="X24:Y24"/>
    <mergeCell ref="Z24:AA24"/>
    <mergeCell ref="AB24:AC24"/>
    <mergeCell ref="AD24:AE24"/>
    <mergeCell ref="B29:R29"/>
    <mergeCell ref="S29:U29"/>
    <mergeCell ref="AJ29:AL29"/>
    <mergeCell ref="AJ30:AL30"/>
    <mergeCell ref="AJ31:AL31"/>
    <mergeCell ref="AJ25:AK25"/>
    <mergeCell ref="AL25:AM25"/>
    <mergeCell ref="AN25:AO25"/>
    <mergeCell ref="C27:AO27"/>
    <mergeCell ref="B28:R28"/>
    <mergeCell ref="S28:U28"/>
    <mergeCell ref="AJ28:AL28"/>
    <mergeCell ref="X25:Y25"/>
    <mergeCell ref="Z25:AA25"/>
    <mergeCell ref="AB25:AC25"/>
    <mergeCell ref="AD25:AE25"/>
    <mergeCell ref="AF25:AG25"/>
    <mergeCell ref="AH25:AI25"/>
    <mergeCell ref="C25:I25"/>
    <mergeCell ref="J25:K25"/>
    <mergeCell ref="L25:M25"/>
    <mergeCell ref="N25:O25"/>
    <mergeCell ref="P25:Q25"/>
    <mergeCell ref="R25:S25"/>
    <mergeCell ref="HC35:IO35"/>
    <mergeCell ref="S36:U36"/>
    <mergeCell ref="HS36:HU36"/>
    <mergeCell ref="HO37:HQ37"/>
    <mergeCell ref="IJ37:IL37"/>
    <mergeCell ref="HO38:HQ38"/>
    <mergeCell ref="IJ38:IL38"/>
    <mergeCell ref="C33:AO33"/>
    <mergeCell ref="C34:R34"/>
    <mergeCell ref="S34:U34"/>
    <mergeCell ref="W34:AI34"/>
    <mergeCell ref="AJ34:AL34"/>
    <mergeCell ref="S35:U35"/>
    <mergeCell ref="V35:AI35"/>
    <mergeCell ref="AJ35:AL35"/>
    <mergeCell ref="II47:IM47"/>
    <mergeCell ref="II48:IM48"/>
    <mergeCell ref="II49:IM49"/>
    <mergeCell ref="II50:IM50"/>
    <mergeCell ref="II51:IM51"/>
    <mergeCell ref="II52:IM52"/>
    <mergeCell ref="II40:IM41"/>
    <mergeCell ref="II42:IM42"/>
    <mergeCell ref="II43:IM43"/>
    <mergeCell ref="II44:IM44"/>
    <mergeCell ref="II45:IM45"/>
    <mergeCell ref="II46:IM46"/>
    <mergeCell ref="II53:IM53"/>
    <mergeCell ref="AS54:BG54"/>
    <mergeCell ref="II54:IM54"/>
    <mergeCell ref="II55:IM55"/>
    <mergeCell ref="C56:AO56"/>
    <mergeCell ref="CL56:CN59"/>
    <mergeCell ref="CO56:CQ59"/>
    <mergeCell ref="CR56:CU59"/>
    <mergeCell ref="CV56:CX59"/>
    <mergeCell ref="II56:IM56"/>
    <mergeCell ref="C59:G60"/>
    <mergeCell ref="AA59:AE60"/>
    <mergeCell ref="AS59:CE59"/>
    <mergeCell ref="CL60:CN60"/>
    <mergeCell ref="CO60:CQ60"/>
    <mergeCell ref="CR60:CU60"/>
    <mergeCell ref="U57:Y60"/>
    <mergeCell ref="II57:IM57"/>
    <mergeCell ref="I58:L60"/>
    <mergeCell ref="O58:R60"/>
    <mergeCell ref="AS58:CE58"/>
    <mergeCell ref="II58:IM58"/>
    <mergeCell ref="CV60:CX60"/>
    <mergeCell ref="HL60:HY60"/>
    <mergeCell ref="HZ60:IC60"/>
    <mergeCell ref="CO61:CQ61"/>
    <mergeCell ref="CR61:CU61"/>
    <mergeCell ref="CV61:CX61"/>
    <mergeCell ref="C62:G62"/>
    <mergeCell ref="I62:L62"/>
    <mergeCell ref="O62:R62"/>
    <mergeCell ref="U62:Y62"/>
    <mergeCell ref="AA62:AE62"/>
    <mergeCell ref="CL62:CN62"/>
    <mergeCell ref="CO62:CQ62"/>
    <mergeCell ref="C61:G61"/>
    <mergeCell ref="I61:L61"/>
    <mergeCell ref="O61:R61"/>
    <mergeCell ref="U61:Y61"/>
    <mergeCell ref="AA61:AE61"/>
    <mergeCell ref="CL61:CN61"/>
    <mergeCell ref="CR62:CU62"/>
    <mergeCell ref="CV62:CX62"/>
    <mergeCell ref="C63:G63"/>
    <mergeCell ref="I63:L63"/>
    <mergeCell ref="O63:R63"/>
    <mergeCell ref="U63:Y63"/>
    <mergeCell ref="AA63:AE63"/>
    <mergeCell ref="CL63:CN63"/>
    <mergeCell ref="CO63:CQ63"/>
    <mergeCell ref="CR63:CU63"/>
    <mergeCell ref="CV63:CX63"/>
    <mergeCell ref="C64:G64"/>
    <mergeCell ref="I64:L64"/>
    <mergeCell ref="O64:R64"/>
    <mergeCell ref="U64:Y64"/>
    <mergeCell ref="AA64:AE64"/>
    <mergeCell ref="CL64:CN64"/>
    <mergeCell ref="CO64:CQ64"/>
    <mergeCell ref="CR64:CU64"/>
    <mergeCell ref="CV64:CX64"/>
    <mergeCell ref="CO65:CQ65"/>
    <mergeCell ref="CR65:CU65"/>
    <mergeCell ref="CV65:CX65"/>
    <mergeCell ref="C66:G66"/>
    <mergeCell ref="I66:L66"/>
    <mergeCell ref="O66:R66"/>
    <mergeCell ref="U66:Y66"/>
    <mergeCell ref="AA66:AE66"/>
    <mergeCell ref="CL66:CN66"/>
    <mergeCell ref="CO66:CQ66"/>
    <mergeCell ref="C65:G65"/>
    <mergeCell ref="I65:L65"/>
    <mergeCell ref="O65:R65"/>
    <mergeCell ref="U65:Y65"/>
    <mergeCell ref="AA65:AE65"/>
    <mergeCell ref="CL65:CN65"/>
    <mergeCell ref="CR66:CU66"/>
    <mergeCell ref="CV66:CX66"/>
    <mergeCell ref="C67:G67"/>
    <mergeCell ref="I67:L67"/>
    <mergeCell ref="O67:R67"/>
    <mergeCell ref="U67:Y67"/>
    <mergeCell ref="AA67:AE67"/>
    <mergeCell ref="CL67:CN67"/>
    <mergeCell ref="CO67:CQ67"/>
    <mergeCell ref="CR67:CU67"/>
    <mergeCell ref="CV67:CX67"/>
    <mergeCell ref="C68:G68"/>
    <mergeCell ref="I68:L68"/>
    <mergeCell ref="O68:R68"/>
    <mergeCell ref="U68:Y68"/>
    <mergeCell ref="AA68:AE68"/>
    <mergeCell ref="CL68:CN68"/>
    <mergeCell ref="CO68:CQ68"/>
    <mergeCell ref="CR68:CU68"/>
    <mergeCell ref="CV68:CX68"/>
    <mergeCell ref="CO69:CQ69"/>
    <mergeCell ref="CR69:CU69"/>
    <mergeCell ref="CV69:CX69"/>
    <mergeCell ref="C70:G70"/>
    <mergeCell ref="O70:R70"/>
    <mergeCell ref="U70:Y70"/>
    <mergeCell ref="AA70:AE70"/>
    <mergeCell ref="CL70:CN70"/>
    <mergeCell ref="CO70:CQ70"/>
    <mergeCell ref="CR70:CU70"/>
    <mergeCell ref="C69:G69"/>
    <mergeCell ref="I69:L69"/>
    <mergeCell ref="O69:R69"/>
    <mergeCell ref="U69:Y69"/>
    <mergeCell ref="AA69:AE69"/>
    <mergeCell ref="CL69:CN69"/>
    <mergeCell ref="CV70:CX70"/>
    <mergeCell ref="C71:G71"/>
    <mergeCell ref="I71:L71"/>
    <mergeCell ref="O71:R71"/>
    <mergeCell ref="U71:Y71"/>
    <mergeCell ref="AA71:AE71"/>
    <mergeCell ref="CL71:CN71"/>
    <mergeCell ref="CO71:CQ71"/>
    <mergeCell ref="CR71:CU71"/>
    <mergeCell ref="CV71:CX71"/>
    <mergeCell ref="CO72:CQ72"/>
    <mergeCell ref="CR72:CU72"/>
    <mergeCell ref="CV72:CX72"/>
    <mergeCell ref="C73:G73"/>
    <mergeCell ref="I73:L73"/>
    <mergeCell ref="O73:R73"/>
    <mergeCell ref="U73:Y73"/>
    <mergeCell ref="AA73:AE73"/>
    <mergeCell ref="AT73:AX73"/>
    <mergeCell ref="CL73:CN73"/>
    <mergeCell ref="C72:G72"/>
    <mergeCell ref="I72:L72"/>
    <mergeCell ref="O72:R72"/>
    <mergeCell ref="U72:Y72"/>
    <mergeCell ref="AA72:AE72"/>
    <mergeCell ref="CL72:CN72"/>
    <mergeCell ref="CO73:CQ73"/>
    <mergeCell ref="CR73:CU73"/>
    <mergeCell ref="CV73:CX73"/>
    <mergeCell ref="C74:G74"/>
    <mergeCell ref="I74:L74"/>
    <mergeCell ref="O74:R74"/>
    <mergeCell ref="U74:Y74"/>
    <mergeCell ref="AA74:AE74"/>
    <mergeCell ref="CL74:CN74"/>
    <mergeCell ref="CO74:CQ74"/>
    <mergeCell ref="CV75:CX75"/>
    <mergeCell ref="C76:G76"/>
    <mergeCell ref="I76:L76"/>
    <mergeCell ref="O76:R76"/>
    <mergeCell ref="U76:Y76"/>
    <mergeCell ref="AA76:AE76"/>
    <mergeCell ref="CR74:CU74"/>
    <mergeCell ref="CV74:CX74"/>
    <mergeCell ref="C75:G75"/>
    <mergeCell ref="I75:L75"/>
    <mergeCell ref="O75:R75"/>
    <mergeCell ref="U75:Y75"/>
    <mergeCell ref="AA75:AE75"/>
    <mergeCell ref="CL75:CN75"/>
    <mergeCell ref="CO75:CQ75"/>
    <mergeCell ref="CR75:CU75"/>
    <mergeCell ref="X108:AO108"/>
    <mergeCell ref="AT108:BG108"/>
    <mergeCell ref="BH108:BK108"/>
    <mergeCell ref="AT109:BG109"/>
    <mergeCell ref="BH109:BK109"/>
    <mergeCell ref="H110:O110"/>
    <mergeCell ref="AT110:BG110"/>
    <mergeCell ref="BH110:BK110"/>
    <mergeCell ref="I77:L77"/>
    <mergeCell ref="O77:R77"/>
    <mergeCell ref="U77:Y77"/>
    <mergeCell ref="AA77:AE77"/>
    <mergeCell ref="D106:AN106"/>
    <mergeCell ref="AS107:CE107"/>
    <mergeCell ref="D114:G114"/>
    <mergeCell ref="H114:K114"/>
    <mergeCell ref="W114:Y114"/>
    <mergeCell ref="AT114:CF114"/>
    <mergeCell ref="D115:G115"/>
    <mergeCell ref="H115:K115"/>
    <mergeCell ref="W115:Y115"/>
    <mergeCell ref="BH115:BK115"/>
    <mergeCell ref="AT111:BG111"/>
    <mergeCell ref="BH111:BK111"/>
    <mergeCell ref="D112:K112"/>
    <mergeCell ref="M112:AO112"/>
    <mergeCell ref="D113:G113"/>
    <mergeCell ref="H113:K113"/>
    <mergeCell ref="W113:Y113"/>
    <mergeCell ref="D118:G118"/>
    <mergeCell ref="H118:K118"/>
    <mergeCell ref="W118:Y118"/>
    <mergeCell ref="BH118:BK118"/>
    <mergeCell ref="D119:G119"/>
    <mergeCell ref="H119:K119"/>
    <mergeCell ref="W119:Y119"/>
    <mergeCell ref="D116:G116"/>
    <mergeCell ref="H116:K116"/>
    <mergeCell ref="W116:Y116"/>
    <mergeCell ref="BH116:BK116"/>
    <mergeCell ref="D117:G117"/>
    <mergeCell ref="H117:K117"/>
    <mergeCell ref="W117:Y117"/>
    <mergeCell ref="D122:G122"/>
    <mergeCell ref="H122:K122"/>
    <mergeCell ref="W122:Y122"/>
    <mergeCell ref="D123:G123"/>
    <mergeCell ref="H123:K123"/>
    <mergeCell ref="W123:Y123"/>
    <mergeCell ref="D120:G120"/>
    <mergeCell ref="H120:K120"/>
    <mergeCell ref="W120:Y120"/>
    <mergeCell ref="D121:G121"/>
    <mergeCell ref="H121:K121"/>
    <mergeCell ref="W121:AN121"/>
    <mergeCell ref="D126:G126"/>
    <mergeCell ref="H126:K126"/>
    <mergeCell ref="W126:AE126"/>
    <mergeCell ref="D127:G127"/>
    <mergeCell ref="H127:K127"/>
    <mergeCell ref="W127:AE127"/>
    <mergeCell ref="D124:G124"/>
    <mergeCell ref="H124:K124"/>
    <mergeCell ref="W124:AE124"/>
    <mergeCell ref="D125:G125"/>
    <mergeCell ref="H125:K125"/>
    <mergeCell ref="W125:AE125"/>
    <mergeCell ref="C131:AO131"/>
    <mergeCell ref="C132:AO135"/>
    <mergeCell ref="C136:AO136"/>
    <mergeCell ref="C137:AO144"/>
    <mergeCell ref="AS154:CE154"/>
    <mergeCell ref="AU155:BA155"/>
    <mergeCell ref="D128:G128"/>
    <mergeCell ref="H128:K128"/>
    <mergeCell ref="D129:G129"/>
    <mergeCell ref="H129:K129"/>
    <mergeCell ref="D130:G130"/>
    <mergeCell ref="H130:K130"/>
    <mergeCell ref="J30:U30"/>
    <mergeCell ref="AU175:BA175"/>
    <mergeCell ref="AU176:BA176"/>
    <mergeCell ref="C186:L188"/>
    <mergeCell ref="AU168:BA168"/>
    <mergeCell ref="AU169:BA169"/>
    <mergeCell ref="C170:AN171"/>
    <mergeCell ref="AU172:BA172"/>
    <mergeCell ref="AU173:BA173"/>
    <mergeCell ref="AU174:BA174"/>
    <mergeCell ref="AS178:CE178"/>
    <mergeCell ref="AS179:CE183"/>
    <mergeCell ref="AU162:BA162"/>
    <mergeCell ref="AU163:BA163"/>
    <mergeCell ref="AU164:BA164"/>
    <mergeCell ref="AU165:BA165"/>
    <mergeCell ref="AT166:BA166"/>
    <mergeCell ref="AU167:BA167"/>
    <mergeCell ref="AU156:BA156"/>
    <mergeCell ref="AU157:BA157"/>
    <mergeCell ref="AU158:BA158"/>
    <mergeCell ref="AU159:BA159"/>
    <mergeCell ref="AU160:BA160"/>
    <mergeCell ref="AU161:BA161"/>
  </mergeCells>
  <conditionalFormatting sqref="BF13 BN13">
    <cfRule type="cellIs" dxfId="58" priority="5" operator="greaterThan">
      <formula>$BV$13</formula>
    </cfRule>
    <cfRule type="cellIs" dxfId="57" priority="6" operator="lessThan">
      <formula>"89.0%$F$45"</formula>
    </cfRule>
    <cfRule type="cellIs" dxfId="56" priority="7" operator="greaterThan">
      <formula>$BV$13</formula>
    </cfRule>
  </conditionalFormatting>
  <conditionalFormatting sqref="BF13">
    <cfRule type="cellIs" dxfId="55" priority="4" operator="greaterThan">
      <formula>"e44"</formula>
    </cfRule>
  </conditionalFormatting>
  <conditionalFormatting sqref="BF14 BN14">
    <cfRule type="cellIs" dxfId="54" priority="9" operator="greaterThan">
      <formula>$BV$14</formula>
    </cfRule>
    <cfRule type="cellIs" dxfId="53" priority="10" operator="lessThan">
      <formula>"92.9%$F$46"</formula>
    </cfRule>
    <cfRule type="cellIs" dxfId="52" priority="11" operator="greaterThan">
      <formula>$BV$14</formula>
    </cfRule>
  </conditionalFormatting>
  <conditionalFormatting sqref="BF14">
    <cfRule type="cellIs" dxfId="51" priority="3" operator="greaterThan">
      <formula>"e45"</formula>
    </cfRule>
  </conditionalFormatting>
  <conditionalFormatting sqref="BF14:BF16 BN15:BN16">
    <cfRule type="cellIs" dxfId="50" priority="8" operator="greaterThan">
      <formula>#REF!</formula>
    </cfRule>
  </conditionalFormatting>
  <conditionalFormatting sqref="BF15 BN15">
    <cfRule type="cellIs" dxfId="49" priority="13" operator="greaterThan">
      <formula>$BV$15</formula>
    </cfRule>
    <cfRule type="cellIs" dxfId="48" priority="14" operator="lessThan">
      <formula>"90.3%$L$45"</formula>
    </cfRule>
    <cfRule type="cellIs" dxfId="47" priority="15" operator="greaterThan">
      <formula>$BV$15</formula>
    </cfRule>
  </conditionalFormatting>
  <conditionalFormatting sqref="BF15:BF16 BN15:BN16">
    <cfRule type="cellIs" dxfId="46" priority="12" operator="lessThan">
      <formula>#REF!</formula>
    </cfRule>
  </conditionalFormatting>
  <conditionalFormatting sqref="BF16 BN16">
    <cfRule type="cellIs" dxfId="45" priority="16" operator="lessThan">
      <formula>$BV$16</formula>
    </cfRule>
    <cfRule type="cellIs" dxfId="44" priority="17" operator="greaterThan">
      <formula>$BV$16</formula>
    </cfRule>
  </conditionalFormatting>
  <conditionalFormatting sqref="BN15">
    <cfRule type="cellIs" dxfId="43" priority="2" operator="greaterThan">
      <formula>"i44"</formula>
    </cfRule>
  </conditionalFormatting>
  <conditionalFormatting sqref="BN16">
    <cfRule type="cellIs" dxfId="42" priority="1" operator="greaterThan">
      <formula>"i45"</formula>
    </cfRule>
  </conditionalFormatting>
  <dataValidations count="2">
    <dataValidation allowBlank="1" showErrorMessage="1" sqref="S17:U17" xr:uid="{CF6938D1-C19C-4B0A-9BB4-FDCE8D79B983}"/>
    <dataValidation type="list" allowBlank="1" showInputMessage="1" showErrorMessage="1" sqref="D30:J30 V30:Z30" xr:uid="{3D0CBE3C-D1CB-4C49-A7AF-4260864A3709}">
      <formula1>$FR$3:$FR$5</formula1>
    </dataValidation>
  </dataValidations>
  <printOptions horizontalCentered="1" verticalCentered="1"/>
  <pageMargins left="0.2" right="0.2" top="0.205416666666667" bottom="0.3" header="0" footer="0"/>
  <pageSetup scale="90" orientation="portrait" r:id="rId1"/>
  <headerFooter>
    <oddHeader xml:space="preserve">&amp;L
&amp;R       </oddHeader>
  </headerFooter>
  <rowBreaks count="2" manualBreakCount="2">
    <brk id="63" max="16383" man="1"/>
    <brk id="1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9C63-48E2-49D5-AFCC-AA7410273757}">
  <sheetPr codeName="Sheet2">
    <pageSetUpPr fitToPage="1"/>
  </sheetPr>
  <dimension ref="B1:HR305"/>
  <sheetViews>
    <sheetView zoomScaleNormal="100" workbookViewId="0">
      <selection activeCell="C170" sqref="C170:AN171"/>
    </sheetView>
  </sheetViews>
  <sheetFormatPr defaultRowHeight="15" x14ac:dyDescent="0.25"/>
  <cols>
    <col min="1" max="84" width="2.7109375" style="1" customWidth="1"/>
    <col min="85" max="124" width="2.7109375" style="1" hidden="1" customWidth="1"/>
    <col min="125" max="127" width="9.140625" style="1" hidden="1" customWidth="1"/>
    <col min="128" max="128" width="24.7109375" style="1" hidden="1" customWidth="1"/>
    <col min="129" max="129" width="27.7109375" style="2" hidden="1" customWidth="1"/>
    <col min="130" max="130" width="38.7109375" style="2" hidden="1" customWidth="1"/>
    <col min="131" max="131" width="30.28515625" style="2" hidden="1" customWidth="1"/>
    <col min="132" max="132" width="18" style="1" hidden="1" customWidth="1"/>
    <col min="133" max="133" width="38.140625" style="1" hidden="1" customWidth="1"/>
    <col min="134" max="134" width="42.7109375" style="1" hidden="1" customWidth="1"/>
    <col min="135" max="135" width="44.140625" style="1" hidden="1" customWidth="1"/>
    <col min="136" max="136" width="39" style="1" hidden="1" customWidth="1"/>
    <col min="137" max="137" width="41.85546875" style="1" hidden="1" customWidth="1"/>
    <col min="138" max="138" width="27.7109375" style="1" hidden="1" customWidth="1"/>
    <col min="139" max="139" width="17.5703125" style="1" hidden="1" customWidth="1"/>
    <col min="140" max="142" width="16.7109375" style="1" hidden="1" customWidth="1"/>
    <col min="143" max="143" width="15.7109375" style="1" hidden="1" customWidth="1"/>
    <col min="144" max="144" width="16.7109375" style="1" hidden="1" customWidth="1"/>
    <col min="145" max="145" width="15.7109375" style="1" hidden="1" customWidth="1"/>
    <col min="146" max="146" width="16.7109375" style="1" hidden="1" customWidth="1"/>
    <col min="147" max="147" width="9.140625" style="1" hidden="1" customWidth="1"/>
    <col min="148" max="148" width="9.5703125" style="1" hidden="1" customWidth="1"/>
    <col min="149" max="226" width="9.140625" style="1" hidden="1" customWidth="1"/>
    <col min="227" max="387" width="9.140625" style="1" customWidth="1"/>
    <col min="388" max="431" width="2.7109375" style="1" customWidth="1"/>
    <col min="432" max="16384" width="9.140625" style="1"/>
  </cols>
  <sheetData>
    <row r="1" spans="2:177" ht="18" customHeight="1" x14ac:dyDescent="0.25">
      <c r="DW1" s="170" t="s">
        <v>331</v>
      </c>
      <c r="DX1" s="170"/>
      <c r="DY1" s="170"/>
      <c r="DZ1" s="170"/>
      <c r="EA1" s="170"/>
      <c r="EB1" s="170"/>
      <c r="EC1" s="170"/>
      <c r="ED1" s="170"/>
      <c r="EE1" s="170"/>
      <c r="EF1" s="170"/>
      <c r="EG1" s="170"/>
      <c r="FN1" s="1" t="s">
        <v>0</v>
      </c>
    </row>
    <row r="2" spans="2:177" ht="18" customHeight="1" x14ac:dyDescent="0.25">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5"/>
      <c r="AR2" s="3"/>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5"/>
      <c r="EA2" s="2" t="s">
        <v>332</v>
      </c>
    </row>
    <row r="3" spans="2:177" ht="18" customHeight="1" x14ac:dyDescent="0.25">
      <c r="B3" s="6"/>
      <c r="AO3" s="7" t="s">
        <v>341</v>
      </c>
      <c r="AP3" s="8"/>
      <c r="AR3" s="6"/>
      <c r="CD3" s="7"/>
      <c r="CF3" s="8"/>
      <c r="DX3" s="1" t="s">
        <v>1</v>
      </c>
      <c r="EA3" s="2" t="s">
        <v>2</v>
      </c>
      <c r="EC3" s="2" t="s">
        <v>3</v>
      </c>
      <c r="ED3" s="1" t="s">
        <v>322</v>
      </c>
      <c r="EE3" s="2" t="s">
        <v>323</v>
      </c>
      <c r="EF3" s="1" t="s">
        <v>324</v>
      </c>
      <c r="EG3" s="73" t="s">
        <v>325</v>
      </c>
      <c r="FR3" s="1" t="s">
        <v>318</v>
      </c>
    </row>
    <row r="4" spans="2:177" ht="18" customHeight="1" x14ac:dyDescent="0.25">
      <c r="B4" s="6"/>
      <c r="AO4" s="9" t="s">
        <v>4</v>
      </c>
      <c r="AP4" s="8"/>
      <c r="AR4" s="6"/>
      <c r="CD4" s="9"/>
      <c r="CF4" s="8"/>
      <c r="DW4" s="2" t="s">
        <v>5</v>
      </c>
      <c r="DX4" s="2" t="s">
        <v>6</v>
      </c>
      <c r="DY4" s="2" t="s">
        <v>7</v>
      </c>
      <c r="DZ4" s="2" t="s">
        <v>8</v>
      </c>
      <c r="EA4" s="2" t="s">
        <v>9</v>
      </c>
      <c r="EC4" s="2" t="s">
        <v>10</v>
      </c>
      <c r="ED4" s="2" t="s">
        <v>11</v>
      </c>
      <c r="FR4" s="1" t="s">
        <v>319</v>
      </c>
    </row>
    <row r="5" spans="2:177" ht="18" customHeight="1" thickBot="1" x14ac:dyDescent="0.3">
      <c r="B5" s="6"/>
      <c r="AO5" s="9" t="s">
        <v>12</v>
      </c>
      <c r="AP5" s="8"/>
      <c r="AR5" s="6"/>
      <c r="AS5" s="10" t="str">
        <f>H12 &amp; " | " &amp; AE13</f>
        <v>Enter Customer PO #  | Stage 1</v>
      </c>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1"/>
      <c r="CE5" s="10"/>
      <c r="CF5" s="8"/>
      <c r="DW5" s="1">
        <v>1</v>
      </c>
      <c r="DX5" s="12" t="str">
        <f>COMPLEX(ROUND(0.0001,6),ROUND(-$AJ$30/DW5,6))</f>
        <v>0.0001-26.996684i</v>
      </c>
      <c r="DY5" s="13" t="str">
        <f t="shared" ref="DY5:DY41" si="0">COMPLEX(0.000000001,-1*$CL$25/DW5)</f>
        <v>0.000000001</v>
      </c>
      <c r="DZ5" s="13" t="str">
        <f>COMPLEX(ROUND($AJ$34/$S$34,6),ROUND($AJ$34*DW5,6))</f>
        <v>0.010799+1.079867i</v>
      </c>
      <c r="EA5" s="14" t="str">
        <f>COMPLEX(ROUND($AJ$40,6),ROUND(0.0001,6))</f>
        <v>10.798674+0.0001i</v>
      </c>
      <c r="EC5" s="1" t="str">
        <f>COMPLEX(ROUND(IMREAL(IMSUM(DZ5,DY5)),6),ROUND(IMAGINARY(IMSUM(DZ5,DY5)),6))</f>
        <v>0.010799+1.079867i</v>
      </c>
      <c r="ED5" s="1" t="str">
        <f>COMPLEX(ROUND(IMREAL(IMPRODUCT(EC5,EA5)),6),ROUND(IMAGINARY(IMPRODUCT(EC5,EA5)),6))</f>
        <v>0.116507+11.661133i</v>
      </c>
      <c r="EE5" s="1" t="str">
        <f>COMPLEX(ROUND(IMREAL(IMSUM(EA5,EC5)),6),ROUND(IMAGINARY(IMSUM(EA5,EC5)),6))</f>
        <v>10.809473+1.079967i</v>
      </c>
      <c r="EF5" s="1" t="str">
        <f>COMPLEX(ROUND(IMREAL(IMDIV(ED5,EE5)),6),ROUND(IMAGINARY(IMDIV(ED5,EE5)),6))</f>
        <v>0.117387+1.06706i</v>
      </c>
      <c r="EG5" s="1" t="str">
        <f>COMPLEX(ROUND(IMREAL(IMSUM(EF5,DX5)),6),ROUND(IMAGINARY(IMSUM(EF5,DX5)),6))</f>
        <v>0.117487-25.929624i</v>
      </c>
      <c r="EI5" s="15">
        <f t="shared" ref="EI5:EI20" si="1">D114</f>
        <v>1</v>
      </c>
      <c r="EJ5" s="15">
        <f t="shared" ref="EJ5:EJ20" si="2">H114</f>
        <v>415.11580217446271</v>
      </c>
      <c r="EK5" s="1">
        <f t="shared" ref="EK5:EK20" si="3">EJ5*EJ5</f>
        <v>172321.12921494766</v>
      </c>
      <c r="FN5" s="1">
        <f t="shared" ref="FN5:FN41" si="4">DW5</f>
        <v>1</v>
      </c>
      <c r="FO5" s="1">
        <f t="shared" ref="FO5:FO41" si="5">IMABS(EG5)</f>
        <v>25.92989016514619</v>
      </c>
      <c r="FR5" s="1" t="s">
        <v>320</v>
      </c>
    </row>
    <row r="6" spans="2:177" ht="18" customHeight="1" thickBot="1" x14ac:dyDescent="0.3">
      <c r="B6" s="6"/>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G6" s="10"/>
      <c r="AH6" s="10"/>
      <c r="AI6" s="10"/>
      <c r="AJ6" s="10"/>
      <c r="AK6" s="10"/>
      <c r="AL6" s="10"/>
      <c r="AM6" s="10"/>
      <c r="AN6" s="10"/>
      <c r="AO6" s="11" t="s">
        <v>13</v>
      </c>
      <c r="AP6" s="8"/>
      <c r="AR6" s="6"/>
      <c r="CD6" s="9"/>
      <c r="CF6" s="8"/>
      <c r="DW6" s="1">
        <f>ROUND(DW5+0.2,1)</f>
        <v>1.2</v>
      </c>
      <c r="DX6" s="12" t="str">
        <f t="shared" ref="DX6:DX69" si="6">COMPLEX(ROUND(0.0001,6),ROUND(-$AJ$30/DW6,6))</f>
        <v>0.0001-22.497237i</v>
      </c>
      <c r="DY6" s="13" t="str">
        <f t="shared" si="0"/>
        <v>0.000000001</v>
      </c>
      <c r="DZ6" s="13" t="str">
        <f>COMPLEX(ROUND($AJ$34/$S$34,6),ROUND($AJ$34*DW6,6))</f>
        <v>0.010799+1.295841i</v>
      </c>
      <c r="EA6" s="14" t="str">
        <f t="shared" ref="EA6:EA69" si="7">COMPLEX(ROUND($AJ$40,6),ROUND(0.0001,6))</f>
        <v>10.798674+0.0001i</v>
      </c>
      <c r="EC6" s="1" t="str">
        <f t="shared" ref="EC6:EC69" si="8">COMPLEX(ROUND(IMREAL(IMSUM(DZ6,DY6)),6),ROUND(IMAGINARY(IMSUM(DZ6,DY6)),6))</f>
        <v>0.010799+1.295841i</v>
      </c>
      <c r="ED6" s="1" t="str">
        <f t="shared" ref="ED6:ED69" si="9">COMPLEX(ROUND(IMREAL(IMPRODUCT(EC6,EA6)),6),ROUND(IMAGINARY(IMPRODUCT(EC6,EA6)),6))</f>
        <v>0.116485+13.993366i</v>
      </c>
      <c r="EE6" s="1" t="str">
        <f t="shared" ref="EE6:EE69" si="10">COMPLEX(ROUND(IMREAL(IMSUM(EA6,EC6)),6),ROUND(IMAGINARY(IMSUM(EA6,EC6)),6))</f>
        <v>10.809473+1.295941i</v>
      </c>
      <c r="EF6" s="1" t="str">
        <f t="shared" ref="EF6:EF69" si="11">COMPLEX(ROUND(IMREAL(IMDIV(ED6,EE6)),6),ROUND(IMAGINARY(IMDIV(ED6,EE6)),6))</f>
        <v>0.163627+1.274929i</v>
      </c>
      <c r="EG6" s="1" t="str">
        <f t="shared" ref="EG6:EG69" si="12">COMPLEX(ROUND(IMREAL(IMSUM(EF6,DX6)),6),ROUND(IMAGINARY(IMSUM(EF6,DX6)),6))</f>
        <v>0.163727-21.222308i</v>
      </c>
      <c r="EI6" s="15">
        <f t="shared" si="1"/>
        <v>2</v>
      </c>
      <c r="EJ6" s="15">
        <f t="shared" si="2"/>
        <v>0</v>
      </c>
      <c r="EK6" s="1">
        <f t="shared" si="3"/>
        <v>0</v>
      </c>
      <c r="FN6" s="1">
        <f t="shared" si="4"/>
        <v>1.2</v>
      </c>
      <c r="FO6" s="1">
        <f t="shared" si="5"/>
        <v>21.22293955552324</v>
      </c>
    </row>
    <row r="7" spans="2:177" ht="18" customHeight="1" x14ac:dyDescent="0.25">
      <c r="B7" s="6"/>
      <c r="C7" s="188" t="s">
        <v>339</v>
      </c>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8"/>
      <c r="AR7" s="6"/>
      <c r="AS7" s="16" t="s">
        <v>15</v>
      </c>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8"/>
      <c r="DW7" s="1">
        <f>ROUND(DW6+0.2,1)</f>
        <v>1.4</v>
      </c>
      <c r="DX7" s="12" t="str">
        <f t="shared" si="6"/>
        <v>0.0001-19.283346i</v>
      </c>
      <c r="DY7" s="13" t="str">
        <f t="shared" si="0"/>
        <v>0.000000001</v>
      </c>
      <c r="DZ7" s="13" t="str">
        <f t="shared" ref="DZ7:DZ70" si="13">COMPLEX(ROUND($AJ$34/$S$34,6),ROUND($AJ$34*DW7,6))</f>
        <v>0.010799+1.511814i</v>
      </c>
      <c r="EA7" s="14" t="str">
        <f t="shared" si="7"/>
        <v>10.798674+0.0001i</v>
      </c>
      <c r="EC7" s="1" t="str">
        <f t="shared" si="8"/>
        <v>0.010799+1.511814i</v>
      </c>
      <c r="ED7" s="1" t="str">
        <f t="shared" si="9"/>
        <v>0.116464+16.325588i</v>
      </c>
      <c r="EE7" s="1" t="str">
        <f t="shared" si="10"/>
        <v>10.809473+1.511914i</v>
      </c>
      <c r="EF7" s="1" t="str">
        <f t="shared" si="11"/>
        <v>0.217759+1.479846i</v>
      </c>
      <c r="EG7" s="1" t="str">
        <f t="shared" si="12"/>
        <v>0.217859-17.8035i</v>
      </c>
      <c r="EI7" s="15">
        <f t="shared" si="1"/>
        <v>3</v>
      </c>
      <c r="EJ7" s="15">
        <f t="shared" si="2"/>
        <v>0</v>
      </c>
      <c r="EK7" s="1">
        <f t="shared" si="3"/>
        <v>0</v>
      </c>
      <c r="FN7" s="1">
        <f t="shared" si="4"/>
        <v>1.4</v>
      </c>
      <c r="FO7" s="1">
        <f t="shared" si="5"/>
        <v>17.804832905531043</v>
      </c>
      <c r="FR7" s="18" t="s">
        <v>16</v>
      </c>
      <c r="FU7" s="1">
        <v>300</v>
      </c>
    </row>
    <row r="8" spans="2:177" ht="18" customHeight="1" x14ac:dyDescent="0.35">
      <c r="B8" s="6"/>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8"/>
      <c r="AR8" s="6"/>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8"/>
      <c r="CY8" s="19"/>
      <c r="DW8" s="1">
        <f t="shared" ref="DW8:DW71" si="14">ROUND(DW7+0.2,1)</f>
        <v>1.6</v>
      </c>
      <c r="DX8" s="12" t="str">
        <f t="shared" si="6"/>
        <v>0.0001-16.872928i</v>
      </c>
      <c r="DY8" s="13" t="str">
        <f t="shared" si="0"/>
        <v>0.000000001</v>
      </c>
      <c r="DZ8" s="13" t="str">
        <f t="shared" si="13"/>
        <v>0.010799+1.727788i</v>
      </c>
      <c r="EA8" s="14" t="str">
        <f t="shared" si="7"/>
        <v>10.798674+0.0001i</v>
      </c>
      <c r="EC8" s="1" t="str">
        <f t="shared" si="8"/>
        <v>0.010799+1.727788i</v>
      </c>
      <c r="ED8" s="1" t="str">
        <f t="shared" si="9"/>
        <v>0.116442+18.65782i</v>
      </c>
      <c r="EE8" s="1" t="str">
        <f t="shared" si="10"/>
        <v>10.809473+1.727888i</v>
      </c>
      <c r="EF8" s="1" t="str">
        <f t="shared" si="11"/>
        <v>0.279539+1.681378i</v>
      </c>
      <c r="EG8" s="1" t="str">
        <f t="shared" si="12"/>
        <v>0.279639-15.19155i</v>
      </c>
      <c r="EI8" s="15">
        <f t="shared" si="1"/>
        <v>4</v>
      </c>
      <c r="EJ8" s="15">
        <f t="shared" si="2"/>
        <v>0</v>
      </c>
      <c r="EK8" s="1">
        <f t="shared" si="3"/>
        <v>0</v>
      </c>
      <c r="FN8" s="1">
        <f t="shared" si="4"/>
        <v>1.6</v>
      </c>
      <c r="FO8" s="1">
        <f t="shared" si="5"/>
        <v>15.194123514465092</v>
      </c>
    </row>
    <row r="9" spans="2:177" ht="18" customHeight="1" x14ac:dyDescent="0.25">
      <c r="B9" s="20"/>
      <c r="C9" s="16" t="s">
        <v>17</v>
      </c>
      <c r="D9" s="21"/>
      <c r="E9" s="22"/>
      <c r="F9" s="22"/>
      <c r="G9" s="22"/>
      <c r="H9" s="22"/>
      <c r="I9" s="23"/>
      <c r="J9" s="24"/>
      <c r="K9" s="24"/>
      <c r="L9" s="24"/>
      <c r="M9" s="24"/>
      <c r="N9" s="24"/>
      <c r="O9" s="24"/>
      <c r="P9" s="24"/>
      <c r="Q9" s="24"/>
      <c r="R9" s="24"/>
      <c r="S9" s="24"/>
      <c r="T9" s="24"/>
      <c r="U9" s="24"/>
      <c r="V9" s="24"/>
      <c r="W9" s="24"/>
      <c r="X9" s="24"/>
      <c r="Y9" s="24"/>
      <c r="Z9" s="24"/>
      <c r="AA9" s="24"/>
      <c r="AB9" s="24"/>
      <c r="AC9" s="24" t="s">
        <v>11</v>
      </c>
      <c r="AD9" s="24"/>
      <c r="AE9" s="24"/>
      <c r="AG9" s="25"/>
      <c r="AH9" s="25"/>
      <c r="AI9" s="25"/>
      <c r="AJ9" s="25"/>
      <c r="AK9" s="25"/>
      <c r="AL9" s="25"/>
      <c r="AM9" s="25"/>
      <c r="AN9" s="26" t="str">
        <f ca="1">"" &amp; TEXT(TODAY(), "mmmm d, yyyy")</f>
        <v>April 19, 2026</v>
      </c>
      <c r="AO9" s="25"/>
      <c r="AP9" s="8"/>
      <c r="AR9" s="6"/>
      <c r="AS9" s="81" t="s">
        <v>18</v>
      </c>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27"/>
      <c r="DW9" s="1">
        <f t="shared" si="14"/>
        <v>1.8</v>
      </c>
      <c r="DX9" s="12" t="str">
        <f t="shared" si="6"/>
        <v>0.0001-14.998158i</v>
      </c>
      <c r="DY9" s="13" t="str">
        <f t="shared" si="0"/>
        <v>0.000000001</v>
      </c>
      <c r="DZ9" s="13" t="str">
        <f t="shared" si="13"/>
        <v>0.010799+1.943761i</v>
      </c>
      <c r="EA9" s="14" t="str">
        <f t="shared" si="7"/>
        <v>10.798674+0.0001i</v>
      </c>
      <c r="EC9" s="1" t="str">
        <f t="shared" si="8"/>
        <v>0.010799+1.943761i</v>
      </c>
      <c r="ED9" s="1" t="str">
        <f t="shared" si="9"/>
        <v>0.116421+20.990042i</v>
      </c>
      <c r="EE9" s="1" t="str">
        <f t="shared" si="10"/>
        <v>10.809473+1.943861i</v>
      </c>
      <c r="EF9" s="1" t="str">
        <f t="shared" si="11"/>
        <v>0.34869+1.879114i</v>
      </c>
      <c r="EG9" s="1" t="str">
        <f t="shared" si="12"/>
        <v>0.34879-13.119044i</v>
      </c>
      <c r="EI9" s="15">
        <f t="shared" si="1"/>
        <v>5</v>
      </c>
      <c r="EJ9" s="15">
        <f t="shared" si="2"/>
        <v>134.1640786499874</v>
      </c>
      <c r="EK9" s="1">
        <f t="shared" si="3"/>
        <v>18000.000000000007</v>
      </c>
      <c r="FN9" s="1">
        <f t="shared" si="4"/>
        <v>1.8</v>
      </c>
      <c r="FO9" s="1">
        <f t="shared" si="5"/>
        <v>13.12367974076006</v>
      </c>
    </row>
    <row r="10" spans="2:177" ht="18" customHeight="1" x14ac:dyDescent="0.25">
      <c r="B10" s="6"/>
      <c r="AP10" s="8"/>
      <c r="AR10" s="6"/>
      <c r="BF10" s="115" t="s">
        <v>19</v>
      </c>
      <c r="BG10" s="115"/>
      <c r="BH10" s="115"/>
      <c r="BI10" s="115"/>
      <c r="BJ10" s="115"/>
      <c r="BK10" s="115"/>
      <c r="BL10" s="115"/>
      <c r="BM10" s="115"/>
      <c r="BN10" s="115"/>
      <c r="BO10" s="115"/>
      <c r="BP10" s="115"/>
      <c r="BQ10" s="115"/>
      <c r="BR10" s="115"/>
      <c r="BS10" s="115"/>
      <c r="BT10" s="115"/>
      <c r="CE10" s="24"/>
      <c r="CF10" s="8"/>
      <c r="DW10" s="1">
        <f t="shared" si="14"/>
        <v>2</v>
      </c>
      <c r="DX10" s="12" t="str">
        <f t="shared" si="6"/>
        <v>0.0001-13.498342i</v>
      </c>
      <c r="DY10" s="13" t="str">
        <f t="shared" si="0"/>
        <v>0.000000001</v>
      </c>
      <c r="DZ10" s="13" t="str">
        <f t="shared" si="13"/>
        <v>0.010799+2.159735i</v>
      </c>
      <c r="EA10" s="14" t="str">
        <f t="shared" si="7"/>
        <v>10.798674+0.0001i</v>
      </c>
      <c r="EC10" s="1" t="str">
        <f t="shared" si="8"/>
        <v>0.010799+2.159735i</v>
      </c>
      <c r="ED10" s="1" t="str">
        <f t="shared" si="9"/>
        <v>0.116399+23.322275i</v>
      </c>
      <c r="EE10" s="1" t="str">
        <f t="shared" si="10"/>
        <v>10.809473+2.159835i</v>
      </c>
      <c r="EF10" s="1" t="str">
        <f t="shared" si="11"/>
        <v>0.424909+2.072677i</v>
      </c>
      <c r="EG10" s="1" t="str">
        <f t="shared" si="12"/>
        <v>0.425009-11.425665i</v>
      </c>
      <c r="EI10" s="15">
        <f t="shared" si="1"/>
        <v>7</v>
      </c>
      <c r="EJ10" s="15">
        <f t="shared" si="2"/>
        <v>98.307830462284841</v>
      </c>
      <c r="EK10" s="1">
        <f t="shared" si="3"/>
        <v>9664.4295302013397</v>
      </c>
      <c r="FN10" s="1">
        <f t="shared" si="4"/>
        <v>2</v>
      </c>
      <c r="FO10" s="1">
        <f t="shared" si="5"/>
        <v>11.433566956217382</v>
      </c>
    </row>
    <row r="11" spans="2:177" ht="18" customHeight="1" x14ac:dyDescent="0.25">
      <c r="B11" s="28"/>
      <c r="C11" s="24"/>
      <c r="D11" s="24"/>
      <c r="E11" s="24"/>
      <c r="F11" s="24"/>
      <c r="G11" s="9" t="s">
        <v>20</v>
      </c>
      <c r="H11" s="104" t="s">
        <v>21</v>
      </c>
      <c r="I11" s="104"/>
      <c r="J11" s="104"/>
      <c r="K11" s="104"/>
      <c r="L11" s="104"/>
      <c r="M11" s="104"/>
      <c r="N11" s="104"/>
      <c r="O11" s="104"/>
      <c r="P11" s="104"/>
      <c r="Q11" s="104"/>
      <c r="R11" s="104"/>
      <c r="S11" s="104"/>
      <c r="T11" s="104"/>
      <c r="U11" s="104"/>
      <c r="V11" s="104"/>
      <c r="W11" s="104"/>
      <c r="X11" s="24"/>
      <c r="Y11" s="24"/>
      <c r="Z11" s="24"/>
      <c r="AA11" s="24"/>
      <c r="AC11" s="9" t="s">
        <v>22</v>
      </c>
      <c r="AD11" s="24"/>
      <c r="AE11" s="189" t="s">
        <v>23</v>
      </c>
      <c r="AF11" s="189"/>
      <c r="AG11" s="189"/>
      <c r="AH11" s="189"/>
      <c r="AI11" s="189"/>
      <c r="AJ11" s="189"/>
      <c r="AK11" s="189"/>
      <c r="AL11" s="189"/>
      <c r="AM11" s="189"/>
      <c r="AN11" s="189"/>
      <c r="AO11" s="24"/>
      <c r="AP11" s="8"/>
      <c r="AR11" s="6"/>
      <c r="BF11" s="190" t="s">
        <v>24</v>
      </c>
      <c r="BG11" s="191"/>
      <c r="BH11" s="191"/>
      <c r="BI11" s="191"/>
      <c r="BJ11" s="191"/>
      <c r="BK11" s="191"/>
      <c r="BL11" s="191"/>
      <c r="BN11" s="190" t="s">
        <v>25</v>
      </c>
      <c r="BO11" s="190"/>
      <c r="BP11" s="190"/>
      <c r="BQ11" s="190"/>
      <c r="BR11" s="190"/>
      <c r="BS11" s="190"/>
      <c r="BT11" s="190"/>
      <c r="CE11" s="24"/>
      <c r="CF11" s="8"/>
      <c r="DW11" s="1">
        <f t="shared" si="14"/>
        <v>2.2000000000000002</v>
      </c>
      <c r="DX11" s="12" t="str">
        <f t="shared" si="6"/>
        <v>0.0001-12.27122i</v>
      </c>
      <c r="DY11" s="13" t="str">
        <f t="shared" si="0"/>
        <v>0.000000001</v>
      </c>
      <c r="DZ11" s="13" t="str">
        <f t="shared" si="13"/>
        <v>0.010799+2.375708i</v>
      </c>
      <c r="EA11" s="14" t="str">
        <f t="shared" si="7"/>
        <v>10.798674+0.0001i</v>
      </c>
      <c r="EC11" s="1" t="str">
        <f t="shared" si="8"/>
        <v>0.010799+2.375708i</v>
      </c>
      <c r="ED11" s="1" t="str">
        <f t="shared" si="9"/>
        <v>0.116377+25.654497i</v>
      </c>
      <c r="EE11" s="1" t="str">
        <f t="shared" si="10"/>
        <v>10.809473+2.375808i</v>
      </c>
      <c r="EF11" s="1" t="str">
        <f t="shared" si="11"/>
        <v>0.507866+2.261711i</v>
      </c>
      <c r="EG11" s="1" t="str">
        <f t="shared" si="12"/>
        <v>0.507966-10.009509i</v>
      </c>
      <c r="EI11" s="15">
        <f t="shared" si="1"/>
        <v>11</v>
      </c>
      <c r="EJ11" s="15">
        <f t="shared" si="2"/>
        <v>60.540551459668123</v>
      </c>
      <c r="EK11" s="1">
        <f t="shared" si="3"/>
        <v>3665.158371040724</v>
      </c>
      <c r="FN11" s="1">
        <f t="shared" si="4"/>
        <v>2.2000000000000002</v>
      </c>
      <c r="FO11" s="1">
        <f t="shared" si="5"/>
        <v>10.022389928467012</v>
      </c>
    </row>
    <row r="12" spans="2:177" ht="18" customHeight="1" x14ac:dyDescent="0.25">
      <c r="B12" s="28"/>
      <c r="C12" s="24"/>
      <c r="D12" s="24"/>
      <c r="E12" s="24"/>
      <c r="F12" s="24"/>
      <c r="G12" s="9" t="s">
        <v>26</v>
      </c>
      <c r="H12" s="104" t="s">
        <v>27</v>
      </c>
      <c r="I12" s="104"/>
      <c r="J12" s="104"/>
      <c r="K12" s="104"/>
      <c r="L12" s="104"/>
      <c r="M12" s="104"/>
      <c r="N12" s="104"/>
      <c r="O12" s="104"/>
      <c r="P12" s="104"/>
      <c r="Q12" s="104"/>
      <c r="R12" s="104"/>
      <c r="S12" s="104"/>
      <c r="T12" s="104"/>
      <c r="U12" s="104"/>
      <c r="V12" s="104"/>
      <c r="W12" s="104"/>
      <c r="X12" s="24"/>
      <c r="Y12" s="24"/>
      <c r="Z12" s="24"/>
      <c r="AA12" s="24"/>
      <c r="AB12" s="24"/>
      <c r="AC12" s="9" t="s">
        <v>28</v>
      </c>
      <c r="AD12" s="24"/>
      <c r="AE12" s="182" t="s">
        <v>29</v>
      </c>
      <c r="AF12" s="183"/>
      <c r="AG12" s="183"/>
      <c r="AH12" s="183"/>
      <c r="AI12" s="183"/>
      <c r="AJ12" s="183"/>
      <c r="AK12" s="183"/>
      <c r="AL12" s="183"/>
      <c r="AM12" s="183"/>
      <c r="AN12" s="184"/>
      <c r="AO12" s="24"/>
      <c r="AP12" s="8"/>
      <c r="AR12" s="6"/>
      <c r="AT12" s="115" t="s">
        <v>30</v>
      </c>
      <c r="AU12" s="115"/>
      <c r="AV12" s="115"/>
      <c r="AW12" s="115"/>
      <c r="AX12" s="115"/>
      <c r="AY12" s="115"/>
      <c r="AZ12" s="115"/>
      <c r="BA12" s="115"/>
      <c r="BB12" s="115"/>
      <c r="BC12" s="115"/>
      <c r="BD12" s="115"/>
      <c r="BF12" s="115"/>
      <c r="BG12" s="115"/>
      <c r="BH12" s="115"/>
      <c r="BI12" s="115"/>
      <c r="BJ12" s="115"/>
      <c r="BK12" s="115"/>
      <c r="BL12" s="115"/>
      <c r="BN12" s="192"/>
      <c r="BO12" s="192"/>
      <c r="BP12" s="192"/>
      <c r="BQ12" s="192"/>
      <c r="BR12" s="192"/>
      <c r="BS12" s="192"/>
      <c r="BT12" s="192"/>
      <c r="BV12" s="115" t="s">
        <v>31</v>
      </c>
      <c r="BW12" s="115"/>
      <c r="BX12" s="115"/>
      <c r="BY12" s="115"/>
      <c r="BZ12" s="115"/>
      <c r="CE12" s="24"/>
      <c r="CF12" s="8"/>
      <c r="DW12" s="1">
        <f t="shared" si="14"/>
        <v>2.4</v>
      </c>
      <c r="DX12" s="12" t="str">
        <f t="shared" si="6"/>
        <v>0.0001-11.248618i</v>
      </c>
      <c r="DY12" s="13" t="str">
        <f t="shared" si="0"/>
        <v>0.000000001</v>
      </c>
      <c r="DZ12" s="13" t="str">
        <f t="shared" si="13"/>
        <v>0.010799+2.591682i</v>
      </c>
      <c r="EA12" s="14" t="str">
        <f t="shared" si="7"/>
        <v>10.798674+0.0001i</v>
      </c>
      <c r="EC12" s="1" t="str">
        <f t="shared" si="8"/>
        <v>0.010799+2.591682i</v>
      </c>
      <c r="ED12" s="1" t="str">
        <f t="shared" si="9"/>
        <v>0.116356+27.98673i</v>
      </c>
      <c r="EE12" s="1" t="str">
        <f t="shared" si="10"/>
        <v>10.809473+2.591782i</v>
      </c>
      <c r="EF12" s="1" t="str">
        <f t="shared" si="11"/>
        <v>0.597216+2.445899i</v>
      </c>
      <c r="EG12" s="1" t="str">
        <f t="shared" si="12"/>
        <v>0.597316-8.802719i</v>
      </c>
      <c r="EI12" s="15">
        <f t="shared" si="1"/>
        <v>13</v>
      </c>
      <c r="EJ12" s="15">
        <f t="shared" si="2"/>
        <v>27.43698423823616</v>
      </c>
      <c r="EK12" s="1">
        <f t="shared" si="3"/>
        <v>752.78810408921947</v>
      </c>
      <c r="FN12" s="1">
        <f t="shared" si="4"/>
        <v>2.4</v>
      </c>
      <c r="FO12" s="1">
        <f t="shared" si="5"/>
        <v>8.8229614187537404</v>
      </c>
    </row>
    <row r="13" spans="2:177" ht="18" customHeight="1" x14ac:dyDescent="0.25">
      <c r="B13" s="28"/>
      <c r="C13" s="24"/>
      <c r="D13" s="24"/>
      <c r="E13" s="24"/>
      <c r="F13" s="24"/>
      <c r="G13" s="9" t="s">
        <v>32</v>
      </c>
      <c r="H13" s="104" t="s">
        <v>33</v>
      </c>
      <c r="I13" s="104"/>
      <c r="J13" s="104"/>
      <c r="K13" s="104"/>
      <c r="L13" s="104"/>
      <c r="M13" s="104"/>
      <c r="N13" s="104"/>
      <c r="O13" s="104"/>
      <c r="P13" s="104"/>
      <c r="Q13" s="104"/>
      <c r="R13" s="104"/>
      <c r="S13" s="104"/>
      <c r="T13" s="104"/>
      <c r="U13" s="104"/>
      <c r="V13" s="104"/>
      <c r="W13" s="104"/>
      <c r="X13" s="24"/>
      <c r="Y13" s="24"/>
      <c r="Z13" s="24"/>
      <c r="AA13" s="24"/>
      <c r="AB13" s="24"/>
      <c r="AC13" s="9" t="s">
        <v>34</v>
      </c>
      <c r="AD13" s="24"/>
      <c r="AE13" s="182" t="s">
        <v>35</v>
      </c>
      <c r="AF13" s="183"/>
      <c r="AG13" s="183"/>
      <c r="AH13" s="183"/>
      <c r="AI13" s="183"/>
      <c r="AJ13" s="183"/>
      <c r="AK13" s="183"/>
      <c r="AL13" s="183"/>
      <c r="AM13" s="183"/>
      <c r="AN13" s="184"/>
      <c r="AO13" s="24"/>
      <c r="AP13" s="8"/>
      <c r="AR13" s="6"/>
      <c r="BD13" s="29" t="s">
        <v>36</v>
      </c>
      <c r="BF13" s="185">
        <f>BJ21/(S28)</f>
        <v>0.75662535459332592</v>
      </c>
      <c r="BG13" s="185"/>
      <c r="BH13" s="185"/>
      <c r="BI13" s="185"/>
      <c r="BJ13" s="185"/>
      <c r="BK13" s="185"/>
      <c r="BL13" s="185"/>
      <c r="BN13" s="186">
        <f>SQRT(SUM(EA261*1.1*1.1,EB261:EH261)+SUM(EI261:EP261))/1000/(ER260)</f>
        <v>0.83176045217635697</v>
      </c>
      <c r="BO13" s="186"/>
      <c r="BP13" s="186"/>
      <c r="BQ13" s="186"/>
      <c r="BR13" s="186"/>
      <c r="BS13" s="186"/>
      <c r="BT13" s="186"/>
      <c r="BV13" s="187">
        <f>IF(LEFT(J30,2)="SD",1.1,1.25)</f>
        <v>1.25</v>
      </c>
      <c r="BW13" s="187"/>
      <c r="BX13" s="187"/>
      <c r="BY13" s="187"/>
      <c r="BZ13" s="187"/>
      <c r="CE13" s="24"/>
      <c r="CF13" s="8"/>
      <c r="DW13" s="1">
        <f t="shared" si="14"/>
        <v>2.6</v>
      </c>
      <c r="DX13" s="12" t="str">
        <f t="shared" si="6"/>
        <v>0.0001-10.38334i</v>
      </c>
      <c r="DY13" s="13" t="str">
        <f t="shared" si="0"/>
        <v>0.000000001</v>
      </c>
      <c r="DZ13" s="13" t="str">
        <f t="shared" si="13"/>
        <v>0.010799+2.807655i</v>
      </c>
      <c r="EA13" s="14" t="str">
        <f t="shared" si="7"/>
        <v>10.798674+0.0001i</v>
      </c>
      <c r="EC13" s="1" t="str">
        <f t="shared" si="8"/>
        <v>0.010799+2.807655i</v>
      </c>
      <c r="ED13" s="1" t="str">
        <f t="shared" si="9"/>
        <v>0.116334+30.318952i</v>
      </c>
      <c r="EE13" s="1" t="str">
        <f t="shared" si="10"/>
        <v>10.809473+2.807755i</v>
      </c>
      <c r="EF13" s="1" t="str">
        <f t="shared" si="11"/>
        <v>0.692592+2.62495i</v>
      </c>
      <c r="EG13" s="1" t="str">
        <f t="shared" si="12"/>
        <v>0.692692-7.75839i</v>
      </c>
      <c r="EI13" s="15">
        <f t="shared" si="1"/>
        <v>17</v>
      </c>
      <c r="EJ13" s="15">
        <f t="shared" si="2"/>
        <v>15.210603796901815</v>
      </c>
      <c r="EK13" s="1">
        <f t="shared" si="3"/>
        <v>231.3624678663239</v>
      </c>
      <c r="FN13" s="1">
        <f t="shared" si="4"/>
        <v>2.6</v>
      </c>
      <c r="FO13" s="1">
        <f t="shared" si="5"/>
        <v>7.7892514145432488</v>
      </c>
    </row>
    <row r="14" spans="2:177" ht="18" customHeight="1" x14ac:dyDescent="0.25">
      <c r="B14" s="28"/>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8"/>
      <c r="AR14" s="6"/>
      <c r="BD14" s="29" t="s">
        <v>37</v>
      </c>
      <c r="BF14" s="173">
        <f>BJ22/(ER262)</f>
        <v>0.86847060767782236</v>
      </c>
      <c r="BG14" s="173"/>
      <c r="BH14" s="173"/>
      <c r="BI14" s="173"/>
      <c r="BJ14" s="173"/>
      <c r="BK14" s="173"/>
      <c r="BL14" s="173"/>
      <c r="BN14" s="178">
        <f>BF14+0.1</f>
        <v>0.96847060767782234</v>
      </c>
      <c r="BO14" s="178"/>
      <c r="BP14" s="178"/>
      <c r="BQ14" s="178"/>
      <c r="BR14" s="178"/>
      <c r="BS14" s="178"/>
      <c r="BT14" s="178"/>
      <c r="BV14" s="174">
        <f>IF(LEFT(J30,2)="SD",1.2,1.35)</f>
        <v>1.35</v>
      </c>
      <c r="BW14" s="174"/>
      <c r="BX14" s="174"/>
      <c r="BY14" s="174"/>
      <c r="BZ14" s="174"/>
      <c r="CF14" s="8"/>
      <c r="DW14" s="1">
        <f t="shared" si="14"/>
        <v>2.8</v>
      </c>
      <c r="DX14" s="12" t="str">
        <f t="shared" si="6"/>
        <v>0.0001-9.641673i</v>
      </c>
      <c r="DY14" s="13" t="str">
        <f t="shared" si="0"/>
        <v>0.000000001</v>
      </c>
      <c r="DZ14" s="13" t="str">
        <f t="shared" si="13"/>
        <v>0.010799+3.023629i</v>
      </c>
      <c r="EA14" s="14" t="str">
        <f t="shared" si="7"/>
        <v>10.798674+0.0001i</v>
      </c>
      <c r="EC14" s="1" t="str">
        <f t="shared" si="8"/>
        <v>0.010799+3.023629i</v>
      </c>
      <c r="ED14" s="1" t="str">
        <f t="shared" si="9"/>
        <v>0.116313+32.651185i</v>
      </c>
      <c r="EE14" s="1" t="str">
        <f t="shared" si="10"/>
        <v>10.809473+3.023729i</v>
      </c>
      <c r="EF14" s="1" t="str">
        <f t="shared" si="11"/>
        <v>0.793614+2.798611i</v>
      </c>
      <c r="EG14" s="1" t="str">
        <f t="shared" si="12"/>
        <v>0.793714-6.843062i</v>
      </c>
      <c r="EI14" s="15">
        <f t="shared" si="1"/>
        <v>19</v>
      </c>
      <c r="EJ14" s="15">
        <f t="shared" si="2"/>
        <v>6.9861964924893343</v>
      </c>
      <c r="EK14" s="1">
        <f t="shared" si="3"/>
        <v>48.806941431670275</v>
      </c>
      <c r="FN14" s="1">
        <f t="shared" si="4"/>
        <v>2.8</v>
      </c>
      <c r="FO14" s="1">
        <f t="shared" si="5"/>
        <v>6.8889389204463116</v>
      </c>
    </row>
    <row r="15" spans="2:177" ht="18" customHeight="1" x14ac:dyDescent="0.3">
      <c r="B15" s="6"/>
      <c r="C15" s="30" t="s">
        <v>38</v>
      </c>
      <c r="D15" s="31"/>
      <c r="E15" s="31"/>
      <c r="F15" s="31"/>
      <c r="G15" s="31"/>
      <c r="H15" s="31"/>
      <c r="I15" s="31"/>
      <c r="J15" s="31"/>
      <c r="K15" s="31"/>
      <c r="AP15" s="8"/>
      <c r="AR15" s="6"/>
      <c r="BD15" s="29" t="str">
        <f>"% "&amp;$S$20&amp;"HZ AMPS:"</f>
        <v>% 60HZ AMPS:</v>
      </c>
      <c r="BF15" s="179">
        <f>BJ23/ER263</f>
        <v>0.85350113432629582</v>
      </c>
      <c r="BG15" s="179"/>
      <c r="BH15" s="179"/>
      <c r="BI15" s="179"/>
      <c r="BJ15" s="179"/>
      <c r="BK15" s="179"/>
      <c r="BL15" s="179"/>
      <c r="BN15" s="180">
        <f>(SQRT(SUM(EA262*1.1*1.1,EB262:EH262,EI262:EP262))/S29)/ER263</f>
        <v>0.92076474133592623</v>
      </c>
      <c r="BO15" s="180"/>
      <c r="BP15" s="180"/>
      <c r="BQ15" s="180"/>
      <c r="BR15" s="180"/>
      <c r="BS15" s="180"/>
      <c r="BT15" s="180"/>
      <c r="BV15" s="181">
        <v>1.35</v>
      </c>
      <c r="BW15" s="181"/>
      <c r="BX15" s="181"/>
      <c r="BY15" s="181"/>
      <c r="BZ15" s="181"/>
      <c r="CF15" s="8"/>
      <c r="DW15" s="1">
        <f t="shared" si="14"/>
        <v>3</v>
      </c>
      <c r="DX15" s="12" t="str">
        <f t="shared" si="6"/>
        <v>0.0001-8.998895i</v>
      </c>
      <c r="DY15" s="13" t="str">
        <f t="shared" si="0"/>
        <v>0.000000001</v>
      </c>
      <c r="DZ15" s="13" t="str">
        <f t="shared" si="13"/>
        <v>0.010799+3.239602i</v>
      </c>
      <c r="EA15" s="14" t="str">
        <f t="shared" si="7"/>
        <v>10.798674+0.0001i</v>
      </c>
      <c r="EC15" s="1" t="str">
        <f t="shared" si="8"/>
        <v>0.010799+3.239602i</v>
      </c>
      <c r="ED15" s="1" t="str">
        <f t="shared" si="9"/>
        <v>0.116291+34.983407i</v>
      </c>
      <c r="EE15" s="1" t="str">
        <f t="shared" si="10"/>
        <v>10.809473+3.239702i</v>
      </c>
      <c r="EF15" s="1" t="str">
        <f t="shared" si="11"/>
        <v>0.899894+2.966659i</v>
      </c>
      <c r="EG15" s="1" t="str">
        <f t="shared" si="12"/>
        <v>0.899994-6.032236i</v>
      </c>
      <c r="EI15" s="15">
        <f t="shared" si="1"/>
        <v>23</v>
      </c>
      <c r="EJ15" s="15">
        <f t="shared" si="2"/>
        <v>5.9808916712167504</v>
      </c>
      <c r="EK15" s="1">
        <f t="shared" si="3"/>
        <v>35.771065182829894</v>
      </c>
      <c r="FN15" s="1">
        <f t="shared" si="4"/>
        <v>3</v>
      </c>
      <c r="FO15" s="1">
        <f t="shared" si="5"/>
        <v>6.0990048663476237</v>
      </c>
    </row>
    <row r="16" spans="2:177" ht="18" customHeight="1" x14ac:dyDescent="0.25">
      <c r="B16" s="6"/>
      <c r="D16" s="164" t="s">
        <v>39</v>
      </c>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8"/>
      <c r="AR16" s="6"/>
      <c r="BD16" s="29" t="str">
        <f>"% "&amp;$S$20&amp;"HZ KVAR:"</f>
        <v>% 60HZ KVAR:</v>
      </c>
      <c r="BF16" s="172">
        <f>(SUM(EA263:EH263)+SUM(EI263:EP263))/ER264</f>
        <v>0.59294012908389793</v>
      </c>
      <c r="BG16" s="172"/>
      <c r="BH16" s="172"/>
      <c r="BI16" s="172"/>
      <c r="BJ16" s="172"/>
      <c r="BK16" s="172"/>
      <c r="BL16" s="172"/>
      <c r="BN16" s="173">
        <f>(SUM(EA263*1.1*1.1,EB263:EH263)+SUM(EI263:EP263))/ER264</f>
        <v>0.71228365167503949</v>
      </c>
      <c r="BO16" s="173"/>
      <c r="BP16" s="173"/>
      <c r="BQ16" s="173"/>
      <c r="BR16" s="173"/>
      <c r="BS16" s="173"/>
      <c r="BT16" s="173"/>
      <c r="BV16" s="174">
        <v>1.35</v>
      </c>
      <c r="BW16" s="174"/>
      <c r="BX16" s="174"/>
      <c r="BY16" s="174"/>
      <c r="BZ16" s="174"/>
      <c r="CF16" s="8"/>
      <c r="DW16" s="1">
        <f t="shared" si="14"/>
        <v>3.2</v>
      </c>
      <c r="DX16" s="12" t="str">
        <f t="shared" si="6"/>
        <v>0.0001-8.436464i</v>
      </c>
      <c r="DY16" s="13" t="str">
        <f t="shared" si="0"/>
        <v>0.000000001</v>
      </c>
      <c r="DZ16" s="13" t="str">
        <f t="shared" si="13"/>
        <v>0.010799+3.455576i</v>
      </c>
      <c r="EA16" s="14" t="str">
        <f t="shared" si="7"/>
        <v>10.798674+0.0001i</v>
      </c>
      <c r="EC16" s="1" t="str">
        <f t="shared" si="8"/>
        <v>0.010799+3.455576i</v>
      </c>
      <c r="ED16" s="1" t="str">
        <f t="shared" si="9"/>
        <v>0.116269+37.31564i</v>
      </c>
      <c r="EE16" s="1" t="str">
        <f t="shared" si="10"/>
        <v>10.809473+3.455676i</v>
      </c>
      <c r="EF16" s="1" t="str">
        <f t="shared" si="11"/>
        <v>1.011035+3.128907i</v>
      </c>
      <c r="EG16" s="1" t="str">
        <f t="shared" si="12"/>
        <v>1.011135-5.307557i</v>
      </c>
      <c r="EI16" s="15">
        <f t="shared" si="1"/>
        <v>25</v>
      </c>
      <c r="EJ16" s="15">
        <f t="shared" si="2"/>
        <v>5.5708601453115563</v>
      </c>
      <c r="EK16" s="1">
        <f t="shared" si="3"/>
        <v>31.034482758620694</v>
      </c>
      <c r="FN16" s="1">
        <f t="shared" si="4"/>
        <v>3.2</v>
      </c>
      <c r="FO16" s="1">
        <f t="shared" si="5"/>
        <v>5.4030135384314919</v>
      </c>
    </row>
    <row r="17" spans="2:171" ht="18" customHeight="1" x14ac:dyDescent="0.25">
      <c r="B17" s="28"/>
      <c r="C17" s="24"/>
      <c r="D17" s="24"/>
      <c r="E17" s="24"/>
      <c r="F17" s="24"/>
      <c r="G17" s="24"/>
      <c r="H17" s="24"/>
      <c r="I17" s="24"/>
      <c r="J17" s="24"/>
      <c r="K17" s="24"/>
      <c r="L17" s="24"/>
      <c r="M17" s="24"/>
      <c r="N17" s="24"/>
      <c r="O17" s="24"/>
      <c r="P17" s="24"/>
      <c r="Q17" s="24"/>
      <c r="R17" s="32" t="s">
        <v>41</v>
      </c>
      <c r="S17" s="108">
        <v>12.47</v>
      </c>
      <c r="T17" s="108"/>
      <c r="U17" s="108"/>
      <c r="V17" s="33" t="s">
        <v>42</v>
      </c>
      <c r="W17" s="24"/>
      <c r="X17" s="24"/>
      <c r="Y17" s="24"/>
      <c r="Z17" s="24"/>
      <c r="AA17" s="24"/>
      <c r="AB17" s="24"/>
      <c r="AC17" s="24"/>
      <c r="AD17" s="24"/>
      <c r="AE17" s="24"/>
      <c r="AF17" s="24"/>
      <c r="AG17" s="24"/>
      <c r="AH17" s="24"/>
      <c r="AI17" s="24"/>
      <c r="AJ17" s="32" t="s">
        <v>43</v>
      </c>
      <c r="AK17" s="78">
        <f>S17*S17/(S18*0.001)</f>
        <v>25.916816666666673</v>
      </c>
      <c r="AL17" s="78"/>
      <c r="AM17" s="78"/>
      <c r="AN17" s="24" t="s">
        <v>44</v>
      </c>
      <c r="AO17" s="24"/>
      <c r="AP17" s="8"/>
      <c r="AR17" s="6"/>
      <c r="CF17" s="8"/>
      <c r="DW17" s="1">
        <f t="shared" si="14"/>
        <v>3.4</v>
      </c>
      <c r="DX17" s="12" t="str">
        <f t="shared" si="6"/>
        <v>0.0001-7.940201i</v>
      </c>
      <c r="DY17" s="13" t="str">
        <f t="shared" si="0"/>
        <v>0.000000001</v>
      </c>
      <c r="DZ17" s="13" t="str">
        <f t="shared" si="13"/>
        <v>0.010799+3.671549i</v>
      </c>
      <c r="EA17" s="14" t="str">
        <f t="shared" si="7"/>
        <v>10.798674+0.0001i</v>
      </c>
      <c r="EC17" s="1" t="str">
        <f t="shared" si="8"/>
        <v>0.010799+3.671549i</v>
      </c>
      <c r="ED17" s="1" t="str">
        <f t="shared" si="9"/>
        <v>0.116248+39.647862i</v>
      </c>
      <c r="EE17" s="1" t="str">
        <f t="shared" si="10"/>
        <v>10.809473+3.671649i</v>
      </c>
      <c r="EF17" s="1" t="str">
        <f t="shared" si="11"/>
        <v>1.126636+3.285197i</v>
      </c>
      <c r="EG17" s="1" t="str">
        <f t="shared" si="12"/>
        <v>1.126736-4.655004i</v>
      </c>
      <c r="EI17" s="15">
        <f t="shared" si="1"/>
        <v>29</v>
      </c>
      <c r="EJ17" s="15">
        <f t="shared" si="2"/>
        <v>0</v>
      </c>
      <c r="EK17" s="1">
        <f t="shared" si="3"/>
        <v>0</v>
      </c>
      <c r="FN17" s="1">
        <f t="shared" si="4"/>
        <v>3.4</v>
      </c>
      <c r="FO17" s="1">
        <f t="shared" si="5"/>
        <v>4.7894254617555125</v>
      </c>
    </row>
    <row r="18" spans="2:171" ht="18" customHeight="1" x14ac:dyDescent="0.25">
      <c r="B18" s="28"/>
      <c r="C18" s="24"/>
      <c r="D18" s="24"/>
      <c r="E18" s="89" t="s">
        <v>46</v>
      </c>
      <c r="F18" s="89"/>
      <c r="G18" s="89"/>
      <c r="H18" s="89"/>
      <c r="I18" s="89"/>
      <c r="J18" s="89"/>
      <c r="K18" s="89"/>
      <c r="L18" s="89"/>
      <c r="M18" s="89"/>
      <c r="N18" s="89"/>
      <c r="O18" s="89"/>
      <c r="P18" s="89"/>
      <c r="Q18" s="89"/>
      <c r="R18" s="168"/>
      <c r="S18" s="108">
        <v>6000</v>
      </c>
      <c r="T18" s="108"/>
      <c r="U18" s="108"/>
      <c r="V18" s="36" t="s">
        <v>47</v>
      </c>
      <c r="W18" s="24"/>
      <c r="X18" s="37"/>
      <c r="Y18" s="37"/>
      <c r="Z18" s="37"/>
      <c r="AA18" s="37"/>
      <c r="AB18" s="37"/>
      <c r="AC18" s="37"/>
      <c r="AD18" s="24"/>
      <c r="AE18" s="37"/>
      <c r="AF18" s="37"/>
      <c r="AG18" s="24"/>
      <c r="AH18" s="24"/>
      <c r="AI18" s="24"/>
      <c r="AJ18" s="24"/>
      <c r="AK18" s="24"/>
      <c r="AL18" s="24"/>
      <c r="AM18" s="24"/>
      <c r="AN18" s="24"/>
      <c r="AO18" s="24"/>
      <c r="AP18" s="8"/>
      <c r="AR18" s="6"/>
      <c r="AS18" s="171" t="s">
        <v>48</v>
      </c>
      <c r="AT18" s="171"/>
      <c r="AU18" s="171"/>
      <c r="AV18" s="171"/>
      <c r="AW18" s="171"/>
      <c r="AX18" s="171"/>
      <c r="AY18" s="171"/>
      <c r="AZ18" s="171"/>
      <c r="BA18" s="171"/>
      <c r="BB18" s="171"/>
      <c r="BC18" s="171"/>
      <c r="BD18" s="171"/>
      <c r="BE18" s="171"/>
      <c r="BF18" s="171"/>
      <c r="BG18" s="171"/>
      <c r="BH18" s="171"/>
      <c r="BI18" s="171"/>
      <c r="BJ18" s="165">
        <f>AK20/S29</f>
        <v>55.624829069535664</v>
      </c>
      <c r="BK18" s="165"/>
      <c r="BL18" s="165"/>
      <c r="BM18" s="33" t="s">
        <v>49</v>
      </c>
      <c r="BN18" s="38"/>
      <c r="BO18" s="38"/>
      <c r="BZ18" s="35" t="s">
        <v>50</v>
      </c>
      <c r="CA18" s="78">
        <f>(S28*S28)/AJ28*1000</f>
        <v>134.9834201388889</v>
      </c>
      <c r="CB18" s="78"/>
      <c r="CC18" s="78"/>
      <c r="CD18" s="1" t="s">
        <v>44</v>
      </c>
      <c r="CF18" s="8"/>
      <c r="DW18" s="1">
        <f t="shared" si="14"/>
        <v>3.6</v>
      </c>
      <c r="DX18" s="12" t="str">
        <f t="shared" si="6"/>
        <v>0.0001-7.499079i</v>
      </c>
      <c r="DY18" s="13" t="str">
        <f t="shared" si="0"/>
        <v>0.000000001</v>
      </c>
      <c r="DZ18" s="13" t="str">
        <f t="shared" si="13"/>
        <v>0.010799+3.887523i</v>
      </c>
      <c r="EA18" s="14" t="str">
        <f t="shared" si="7"/>
        <v>10.798674+0.0001i</v>
      </c>
      <c r="EC18" s="1" t="str">
        <f t="shared" si="8"/>
        <v>0.010799+3.887523i</v>
      </c>
      <c r="ED18" s="1" t="str">
        <f t="shared" si="9"/>
        <v>0.116226+41.980095i</v>
      </c>
      <c r="EE18" s="1" t="str">
        <f t="shared" si="10"/>
        <v>10.809473+3.887623i</v>
      </c>
      <c r="EF18" s="1" t="str">
        <f t="shared" si="11"/>
        <v>1.246296+3.435409i</v>
      </c>
      <c r="EG18" s="1" t="str">
        <f t="shared" si="12"/>
        <v>1.246396-4.06367i</v>
      </c>
      <c r="EI18" s="15">
        <f t="shared" si="1"/>
        <v>31</v>
      </c>
      <c r="EJ18" s="15">
        <f t="shared" si="2"/>
        <v>0</v>
      </c>
      <c r="EK18" s="1">
        <f t="shared" si="3"/>
        <v>0</v>
      </c>
      <c r="FN18" s="1">
        <f t="shared" si="4"/>
        <v>3.6</v>
      </c>
      <c r="FO18" s="1">
        <f t="shared" si="5"/>
        <v>4.2505195985568633</v>
      </c>
    </row>
    <row r="19" spans="2:171" ht="18" customHeight="1" x14ac:dyDescent="0.25">
      <c r="B19" s="28"/>
      <c r="C19" s="24"/>
      <c r="D19" s="24"/>
      <c r="E19" s="89" t="s">
        <v>51</v>
      </c>
      <c r="F19" s="89"/>
      <c r="G19" s="89"/>
      <c r="H19" s="89"/>
      <c r="I19" s="89"/>
      <c r="J19" s="89"/>
      <c r="K19" s="89"/>
      <c r="L19" s="89"/>
      <c r="M19" s="89"/>
      <c r="N19" s="89"/>
      <c r="O19" s="89"/>
      <c r="P19" s="89"/>
      <c r="Q19" s="89"/>
      <c r="R19" s="168"/>
      <c r="S19" s="169">
        <v>5</v>
      </c>
      <c r="T19" s="169"/>
      <c r="U19" s="169"/>
      <c r="V19" s="33" t="s">
        <v>52</v>
      </c>
      <c r="W19" s="24"/>
      <c r="X19" s="24"/>
      <c r="Y19" s="24"/>
      <c r="Z19" s="24"/>
      <c r="AA19" s="24"/>
      <c r="AB19" s="24"/>
      <c r="AC19" s="24"/>
      <c r="AD19" s="24"/>
      <c r="AE19" s="24"/>
      <c r="AF19" s="24"/>
      <c r="AG19" s="24"/>
      <c r="AH19" s="24"/>
      <c r="AI19" s="24"/>
      <c r="AJ19" s="32" t="s">
        <v>53</v>
      </c>
      <c r="AK19" s="170">
        <f>S20*S19</f>
        <v>300</v>
      </c>
      <c r="AL19" s="170"/>
      <c r="AM19" s="170"/>
      <c r="AN19" s="24" t="s">
        <v>54</v>
      </c>
      <c r="AO19" s="24"/>
      <c r="AP19" s="8"/>
      <c r="AR19" s="6"/>
      <c r="AS19" s="171" t="s">
        <v>55</v>
      </c>
      <c r="AT19" s="171"/>
      <c r="AU19" s="171"/>
      <c r="AV19" s="171"/>
      <c r="AW19" s="171"/>
      <c r="AX19" s="171"/>
      <c r="AY19" s="171"/>
      <c r="AZ19" s="171"/>
      <c r="BA19" s="171"/>
      <c r="BB19" s="171"/>
      <c r="BC19" s="171"/>
      <c r="BD19" s="171"/>
      <c r="BE19" s="171"/>
      <c r="BF19" s="171"/>
      <c r="BG19" s="171"/>
      <c r="BH19" s="171"/>
      <c r="BI19" s="171"/>
      <c r="BJ19" s="75">
        <f>1.8*BJ18</f>
        <v>100.1246923251642</v>
      </c>
      <c r="BK19" s="75"/>
      <c r="BL19" s="75"/>
      <c r="BM19" s="33" t="s">
        <v>49</v>
      </c>
      <c r="BN19" s="38"/>
      <c r="BO19" s="38"/>
      <c r="BZ19" s="35" t="s">
        <v>56</v>
      </c>
      <c r="CA19" s="78">
        <f>1000*1000/(2*3.1415*S20*CA18)</f>
        <v>19.651751421552706</v>
      </c>
      <c r="CB19" s="78"/>
      <c r="CC19" s="78"/>
      <c r="CD19" s="1" t="s">
        <v>57</v>
      </c>
      <c r="CF19" s="8"/>
      <c r="DW19" s="1">
        <f t="shared" si="14"/>
        <v>3.8</v>
      </c>
      <c r="DX19" s="12" t="str">
        <f t="shared" si="6"/>
        <v>0.0001-7.104391i</v>
      </c>
      <c r="DY19" s="13" t="str">
        <f t="shared" si="0"/>
        <v>0.000000001</v>
      </c>
      <c r="DZ19" s="13" t="str">
        <f t="shared" si="13"/>
        <v>0.010799+4.103496i</v>
      </c>
      <c r="EA19" s="14" t="str">
        <f t="shared" si="7"/>
        <v>10.798674+0.0001i</v>
      </c>
      <c r="EC19" s="1" t="str">
        <f t="shared" si="8"/>
        <v>0.010799+4.103496i</v>
      </c>
      <c r="ED19" s="1" t="str">
        <f t="shared" si="9"/>
        <v>0.116205+44.312317i</v>
      </c>
      <c r="EE19" s="1" t="str">
        <f t="shared" si="10"/>
        <v>10.809473+4.103596i</v>
      </c>
      <c r="EF19" s="1" t="str">
        <f t="shared" si="11"/>
        <v>1.369616+3.57945i</v>
      </c>
      <c r="EG19" s="1" t="str">
        <f t="shared" si="12"/>
        <v>1.369716-3.524941i</v>
      </c>
      <c r="EI19" s="15">
        <f t="shared" si="1"/>
        <v>35</v>
      </c>
      <c r="EJ19" s="15">
        <f t="shared" si="2"/>
        <v>4.1208169184606707</v>
      </c>
      <c r="EK19" s="1">
        <f t="shared" si="3"/>
        <v>16.981132075471699</v>
      </c>
      <c r="FN19" s="1">
        <f t="shared" si="4"/>
        <v>3.8</v>
      </c>
      <c r="FO19" s="1">
        <f t="shared" si="5"/>
        <v>3.7817100595017861</v>
      </c>
    </row>
    <row r="20" spans="2:171" ht="18" customHeight="1" x14ac:dyDescent="0.25">
      <c r="B20" s="28"/>
      <c r="C20" s="24"/>
      <c r="D20" s="24"/>
      <c r="E20" s="89" t="s">
        <v>58</v>
      </c>
      <c r="F20" s="89"/>
      <c r="G20" s="89"/>
      <c r="H20" s="89"/>
      <c r="I20" s="89"/>
      <c r="J20" s="89"/>
      <c r="K20" s="89"/>
      <c r="L20" s="89"/>
      <c r="M20" s="89"/>
      <c r="N20" s="89"/>
      <c r="O20" s="89"/>
      <c r="P20" s="89"/>
      <c r="Q20" s="89"/>
      <c r="R20" s="168"/>
      <c r="S20" s="108">
        <v>60</v>
      </c>
      <c r="T20" s="108"/>
      <c r="U20" s="108"/>
      <c r="V20" s="33" t="s">
        <v>59</v>
      </c>
      <c r="W20" s="24"/>
      <c r="X20" s="24"/>
      <c r="Y20" s="24"/>
      <c r="Z20" s="24"/>
      <c r="AA20" s="24"/>
      <c r="AB20" s="24"/>
      <c r="AC20" s="24"/>
      <c r="AD20" s="24"/>
      <c r="AE20" s="24"/>
      <c r="AF20" s="24"/>
      <c r="AG20" s="24"/>
      <c r="AH20" s="24"/>
      <c r="AI20" s="24"/>
      <c r="AJ20" s="32" t="s">
        <v>60</v>
      </c>
      <c r="AK20" s="107">
        <f>1000*0.001*S18/(S17*1.73)</f>
        <v>278.12414534767834</v>
      </c>
      <c r="AL20" s="107"/>
      <c r="AM20" s="107"/>
      <c r="AN20" s="24" t="s">
        <v>49</v>
      </c>
      <c r="AO20" s="24"/>
      <c r="AP20" s="8"/>
      <c r="AR20" s="6"/>
      <c r="AS20" s="89" t="s">
        <v>61</v>
      </c>
      <c r="AT20" s="89"/>
      <c r="AU20" s="89"/>
      <c r="AV20" s="89"/>
      <c r="AW20" s="89"/>
      <c r="AX20" s="89"/>
      <c r="AY20" s="89"/>
      <c r="AZ20" s="89"/>
      <c r="BA20" s="89"/>
      <c r="BB20" s="89"/>
      <c r="BC20" s="89"/>
      <c r="BD20" s="89"/>
      <c r="BE20" s="89"/>
      <c r="BF20" s="89"/>
      <c r="BG20" s="89"/>
      <c r="BH20" s="89"/>
      <c r="BI20" s="89"/>
      <c r="BJ20" s="165">
        <f>AK20*AJ30/1000</f>
        <v>7.508429672447015</v>
      </c>
      <c r="BK20" s="165"/>
      <c r="BL20" s="165"/>
      <c r="BM20" s="166" t="s">
        <v>42</v>
      </c>
      <c r="BN20" s="166"/>
      <c r="BO20" s="166"/>
      <c r="CF20" s="8"/>
      <c r="DW20" s="1">
        <f t="shared" si="14"/>
        <v>4</v>
      </c>
      <c r="DX20" s="12" t="str">
        <f t="shared" si="6"/>
        <v>0.0001-6.749171i</v>
      </c>
      <c r="DY20" s="13" t="str">
        <f t="shared" si="0"/>
        <v>0.000000001</v>
      </c>
      <c r="DZ20" s="13" t="str">
        <f t="shared" si="13"/>
        <v>0.010799+4.319469i</v>
      </c>
      <c r="EA20" s="14" t="str">
        <f t="shared" si="7"/>
        <v>10.798674+0.0001i</v>
      </c>
      <c r="EC20" s="1" t="str">
        <f t="shared" si="8"/>
        <v>0.010799+4.319469i</v>
      </c>
      <c r="ED20" s="1" t="str">
        <f t="shared" si="9"/>
        <v>0.116183+46.644539i</v>
      </c>
      <c r="EE20" s="1" t="str">
        <f t="shared" si="10"/>
        <v>10.809473+4.319569i</v>
      </c>
      <c r="EF20" s="1" t="str">
        <f t="shared" si="11"/>
        <v>1.4962+3.717258i</v>
      </c>
      <c r="EG20" s="1" t="str">
        <f t="shared" si="12"/>
        <v>1.4963-3.031913i</v>
      </c>
      <c r="EI20" s="15">
        <f t="shared" si="1"/>
        <v>37</v>
      </c>
      <c r="EJ20" s="15">
        <f t="shared" si="2"/>
        <v>3.9136353771416208</v>
      </c>
      <c r="EK20" s="1">
        <f t="shared" si="3"/>
        <v>15.316541865214436</v>
      </c>
      <c r="FN20" s="1">
        <f t="shared" si="4"/>
        <v>4</v>
      </c>
      <c r="FO20" s="1">
        <f t="shared" si="5"/>
        <v>3.381036842385631</v>
      </c>
    </row>
    <row r="21" spans="2:171" ht="18" customHeight="1" x14ac:dyDescent="0.25">
      <c r="B21" s="28"/>
      <c r="C21" s="89" t="s">
        <v>40</v>
      </c>
      <c r="D21" s="89"/>
      <c r="E21" s="89"/>
      <c r="F21" s="89"/>
      <c r="G21" s="89"/>
      <c r="H21" s="89"/>
      <c r="I21" s="89"/>
      <c r="J21" s="89"/>
      <c r="K21" s="89"/>
      <c r="L21" s="89"/>
      <c r="M21" s="89"/>
      <c r="N21" s="89"/>
      <c r="O21" s="89"/>
      <c r="P21" s="89"/>
      <c r="Q21" s="89"/>
      <c r="R21" s="168"/>
      <c r="S21" s="175">
        <v>2</v>
      </c>
      <c r="T21" s="176"/>
      <c r="U21" s="177"/>
      <c r="V21" s="24"/>
      <c r="W21" s="24"/>
      <c r="X21" s="24"/>
      <c r="Y21" s="24"/>
      <c r="Z21" s="24"/>
      <c r="AA21" s="24"/>
      <c r="AB21" s="24"/>
      <c r="AC21" s="24"/>
      <c r="AD21" s="24"/>
      <c r="AE21" s="24"/>
      <c r="AF21" s="24"/>
      <c r="AG21" s="24"/>
      <c r="AH21" s="24"/>
      <c r="AI21" s="24"/>
      <c r="AJ21" s="32" t="s">
        <v>62</v>
      </c>
      <c r="AK21" s="167">
        <f>SQRT(SUM(EI262:EP262,EA262:EH262))</f>
        <v>314.88575741906226</v>
      </c>
      <c r="AL21" s="167"/>
      <c r="AM21" s="167"/>
      <c r="AN21" s="39" t="s">
        <v>49</v>
      </c>
      <c r="AO21" s="24"/>
      <c r="AP21" s="8"/>
      <c r="AR21" s="6"/>
      <c r="AS21" s="89" t="s">
        <v>63</v>
      </c>
      <c r="AT21" s="89"/>
      <c r="AU21" s="89"/>
      <c r="AV21" s="89"/>
      <c r="AW21" s="89"/>
      <c r="AX21" s="89"/>
      <c r="AY21" s="89"/>
      <c r="AZ21" s="89"/>
      <c r="BA21" s="89"/>
      <c r="BB21" s="89"/>
      <c r="BC21" s="89"/>
      <c r="BD21" s="89"/>
      <c r="BE21" s="89"/>
      <c r="BF21" s="89"/>
      <c r="BG21" s="89"/>
      <c r="BH21" s="89"/>
      <c r="BI21" s="89"/>
      <c r="BJ21" s="165">
        <f>SQRT(SUM(EA261:EH261)+SUM(EI261:EP261))/1000</f>
        <v>7.5359885317495268</v>
      </c>
      <c r="BK21" s="165"/>
      <c r="BL21" s="165"/>
      <c r="BM21" s="166" t="s">
        <v>42</v>
      </c>
      <c r="BN21" s="166"/>
      <c r="BO21" s="166"/>
      <c r="CF21" s="8"/>
      <c r="DW21" s="1">
        <f t="shared" si="14"/>
        <v>4.2</v>
      </c>
      <c r="DX21" s="12" t="str">
        <f t="shared" si="6"/>
        <v>0.0001-6.427782i</v>
      </c>
      <c r="DY21" s="13" t="str">
        <f t="shared" si="0"/>
        <v>0.000000001</v>
      </c>
      <c r="DZ21" s="13" t="str">
        <f t="shared" si="13"/>
        <v>0.010799+4.535443i</v>
      </c>
      <c r="EA21" s="14" t="str">
        <f t="shared" si="7"/>
        <v>10.798674+0.0001i</v>
      </c>
      <c r="EC21" s="1" t="str">
        <f t="shared" si="8"/>
        <v>0.010799+4.535443i</v>
      </c>
      <c r="ED21" s="1" t="str">
        <f t="shared" si="9"/>
        <v>0.116161+48.976771i</v>
      </c>
      <c r="EE21" s="1" t="str">
        <f t="shared" si="10"/>
        <v>10.809473+4.535543i</v>
      </c>
      <c r="EF21" s="1" t="str">
        <f t="shared" si="11"/>
        <v>1.625663+3.848801i</v>
      </c>
      <c r="EG21" s="1" t="str">
        <f t="shared" si="12"/>
        <v>1.625763-2.578981i</v>
      </c>
      <c r="EI21" s="15"/>
      <c r="EJ21" s="15"/>
      <c r="EK21" s="1">
        <f>SQRT(SUM(EK5:EK20))</f>
        <v>452.52931159369007</v>
      </c>
      <c r="FN21" s="1">
        <f t="shared" si="4"/>
        <v>4.2</v>
      </c>
      <c r="FO21" s="1">
        <f t="shared" si="5"/>
        <v>3.0486469671856073</v>
      </c>
    </row>
    <row r="22" spans="2:171" ht="18" customHeight="1" x14ac:dyDescent="0.25">
      <c r="B22" s="6"/>
      <c r="AP22" s="8"/>
      <c r="AR22" s="6"/>
      <c r="AS22" s="89" t="s">
        <v>64</v>
      </c>
      <c r="AT22" s="89"/>
      <c r="AU22" s="89"/>
      <c r="AV22" s="89"/>
      <c r="AW22" s="89"/>
      <c r="AX22" s="89"/>
      <c r="AY22" s="89"/>
      <c r="AZ22" s="89"/>
      <c r="BA22" s="89"/>
      <c r="BB22" s="89"/>
      <c r="BC22" s="89"/>
      <c r="BD22" s="89"/>
      <c r="BE22" s="89"/>
      <c r="BF22" s="89"/>
      <c r="BG22" s="89"/>
      <c r="BH22" s="89"/>
      <c r="BI22" s="89"/>
      <c r="BJ22" s="165">
        <f>1.414*SUM(O61:R76)/1000</f>
        <v>12.231053694994152</v>
      </c>
      <c r="BK22" s="165"/>
      <c r="BL22" s="165"/>
      <c r="BM22" s="166" t="s">
        <v>42</v>
      </c>
      <c r="BN22" s="166"/>
      <c r="BO22" s="166"/>
      <c r="CF22" s="8"/>
      <c r="DW22" s="1">
        <f t="shared" si="14"/>
        <v>4.4000000000000004</v>
      </c>
      <c r="DX22" s="12" t="str">
        <f t="shared" si="6"/>
        <v>0.0001-6.13561i</v>
      </c>
      <c r="DY22" s="13" t="str">
        <f t="shared" si="0"/>
        <v>0.000000001</v>
      </c>
      <c r="DZ22" s="13" t="str">
        <f t="shared" si="13"/>
        <v>0.010799+4.751416i</v>
      </c>
      <c r="EA22" s="14" t="str">
        <f t="shared" si="7"/>
        <v>10.798674+0.0001i</v>
      </c>
      <c r="EC22" s="1" t="str">
        <f t="shared" si="8"/>
        <v>0.010799+4.751416i</v>
      </c>
      <c r="ED22" s="1" t="str">
        <f t="shared" si="9"/>
        <v>0.11614+51.308994i</v>
      </c>
      <c r="EE22" s="1" t="str">
        <f t="shared" si="10"/>
        <v>10.809473+4.751516i</v>
      </c>
      <c r="EF22" s="1" t="str">
        <f t="shared" si="11"/>
        <v>1.757625+3.974071i</v>
      </c>
      <c r="EG22" s="1" t="str">
        <f t="shared" si="12"/>
        <v>1.757725-2.161539i</v>
      </c>
      <c r="EI22" s="15"/>
      <c r="EJ22" s="15"/>
      <c r="FN22" s="1">
        <f t="shared" si="4"/>
        <v>4.4000000000000004</v>
      </c>
      <c r="FO22" s="1">
        <f t="shared" si="5"/>
        <v>2.7860093366939744</v>
      </c>
    </row>
    <row r="23" spans="2:171" ht="18" customHeight="1" x14ac:dyDescent="0.25">
      <c r="B23" s="6"/>
      <c r="C23" s="164" t="s">
        <v>65</v>
      </c>
      <c r="D23" s="164"/>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8"/>
      <c r="AR23" s="6"/>
      <c r="AS23" s="89" t="s">
        <v>66</v>
      </c>
      <c r="AT23" s="89"/>
      <c r="AU23" s="89"/>
      <c r="AV23" s="89"/>
      <c r="AW23" s="89"/>
      <c r="AX23" s="89"/>
      <c r="AY23" s="89"/>
      <c r="AZ23" s="89"/>
      <c r="BA23" s="89"/>
      <c r="BB23" s="89"/>
      <c r="BC23" s="89"/>
      <c r="BD23" s="89"/>
      <c r="BE23" s="89"/>
      <c r="BF23" s="89"/>
      <c r="BG23" s="89"/>
      <c r="BH23" s="89"/>
      <c r="BI23" s="89"/>
      <c r="BJ23" s="165">
        <f>SQRT(SUM(EA262:EH262,EI262:EP262))/S29</f>
        <v>62.977151483812449</v>
      </c>
      <c r="BK23" s="165"/>
      <c r="BL23" s="165"/>
      <c r="BM23" s="166" t="s">
        <v>49</v>
      </c>
      <c r="BN23" s="166"/>
      <c r="BO23" s="166"/>
      <c r="CF23" s="8"/>
      <c r="DW23" s="1">
        <f t="shared" si="14"/>
        <v>4.5999999999999996</v>
      </c>
      <c r="DX23" s="12" t="str">
        <f t="shared" si="6"/>
        <v>0.0001-5.868844i</v>
      </c>
      <c r="DY23" s="13" t="str">
        <f t="shared" si="0"/>
        <v>0.000000001</v>
      </c>
      <c r="DZ23" s="13" t="str">
        <f t="shared" si="13"/>
        <v>0.010799+4.96739i</v>
      </c>
      <c r="EA23" s="14" t="str">
        <f t="shared" si="7"/>
        <v>10.798674+0.0001i</v>
      </c>
      <c r="EC23" s="1" t="str">
        <f t="shared" si="8"/>
        <v>0.010799+4.96739i</v>
      </c>
      <c r="ED23" s="1" t="str">
        <f t="shared" si="9"/>
        <v>0.116118+53.641226i</v>
      </c>
      <c r="EE23" s="1" t="str">
        <f t="shared" si="10"/>
        <v>10.809473+4.96749i</v>
      </c>
      <c r="EF23" s="1" t="str">
        <f t="shared" si="11"/>
        <v>1.89172+4.093088i</v>
      </c>
      <c r="EG23" s="1" t="str">
        <f t="shared" si="12"/>
        <v>1.89182-1.775756i</v>
      </c>
      <c r="EI23" s="15"/>
      <c r="EJ23" s="15"/>
      <c r="FN23" s="1">
        <f t="shared" si="4"/>
        <v>4.5999999999999996</v>
      </c>
      <c r="FO23" s="1">
        <f t="shared" si="5"/>
        <v>2.5946661218615392</v>
      </c>
    </row>
    <row r="24" spans="2:171" ht="18" customHeight="1" x14ac:dyDescent="0.25">
      <c r="B24" s="6"/>
      <c r="C24" s="160" t="s">
        <v>67</v>
      </c>
      <c r="D24" s="160"/>
      <c r="E24" s="160"/>
      <c r="F24" s="160"/>
      <c r="G24" s="160"/>
      <c r="H24" s="160"/>
      <c r="I24" s="161"/>
      <c r="J24" s="162">
        <v>1</v>
      </c>
      <c r="K24" s="163"/>
      <c r="L24" s="152">
        <v>2</v>
      </c>
      <c r="M24" s="153"/>
      <c r="N24" s="152">
        <v>3</v>
      </c>
      <c r="O24" s="153"/>
      <c r="P24" s="152">
        <v>4</v>
      </c>
      <c r="Q24" s="153"/>
      <c r="R24" s="152">
        <v>5</v>
      </c>
      <c r="S24" s="153"/>
      <c r="T24" s="152">
        <v>7</v>
      </c>
      <c r="U24" s="153"/>
      <c r="V24" s="152">
        <v>11</v>
      </c>
      <c r="W24" s="153"/>
      <c r="X24" s="152">
        <v>13</v>
      </c>
      <c r="Y24" s="153"/>
      <c r="Z24" s="152">
        <v>17</v>
      </c>
      <c r="AA24" s="153"/>
      <c r="AB24" s="152">
        <v>19</v>
      </c>
      <c r="AC24" s="153"/>
      <c r="AD24" s="152">
        <v>23</v>
      </c>
      <c r="AE24" s="153"/>
      <c r="AF24" s="152">
        <v>25</v>
      </c>
      <c r="AG24" s="153"/>
      <c r="AH24" s="152">
        <v>29</v>
      </c>
      <c r="AI24" s="153"/>
      <c r="AJ24" s="152">
        <v>31</v>
      </c>
      <c r="AK24" s="153"/>
      <c r="AL24" s="152">
        <v>35</v>
      </c>
      <c r="AM24" s="153"/>
      <c r="AN24" s="152">
        <v>37</v>
      </c>
      <c r="AO24" s="154"/>
      <c r="AP24" s="8"/>
      <c r="AR24" s="6"/>
      <c r="AS24" s="89" t="s">
        <v>68</v>
      </c>
      <c r="AT24" s="89"/>
      <c r="AU24" s="89"/>
      <c r="AV24" s="89"/>
      <c r="AW24" s="89"/>
      <c r="AX24" s="89"/>
      <c r="AY24" s="89"/>
      <c r="AZ24" s="89"/>
      <c r="BA24" s="89"/>
      <c r="BB24" s="89"/>
      <c r="BC24" s="89"/>
      <c r="BD24" s="89"/>
      <c r="BE24" s="89"/>
      <c r="BF24" s="89"/>
      <c r="BG24" s="89"/>
      <c r="BH24" s="89"/>
      <c r="BI24" s="89"/>
      <c r="BJ24" s="124">
        <f>1*(SUM(EA263:EH263)+SUM(EI263:EP263))</f>
        <v>2178.8086806811807</v>
      </c>
      <c r="BK24" s="124"/>
      <c r="BL24" s="124"/>
      <c r="BM24" s="166" t="s">
        <v>47</v>
      </c>
      <c r="BN24" s="166"/>
      <c r="BO24" s="166"/>
      <c r="CF24" s="8"/>
      <c r="DW24" s="1">
        <f t="shared" si="14"/>
        <v>4.8</v>
      </c>
      <c r="DX24" s="12" t="str">
        <f t="shared" si="6"/>
        <v>0.0001-5.624309i</v>
      </c>
      <c r="DY24" s="13" t="str">
        <f t="shared" si="0"/>
        <v>0.000000001</v>
      </c>
      <c r="DZ24" s="13" t="str">
        <f t="shared" si="13"/>
        <v>0.010799+5.183363i</v>
      </c>
      <c r="EA24" s="14" t="str">
        <f t="shared" si="7"/>
        <v>10.798674+0.0001i</v>
      </c>
      <c r="EC24" s="1" t="str">
        <f t="shared" si="8"/>
        <v>0.010799+5.183363i</v>
      </c>
      <c r="ED24" s="1" t="str">
        <f t="shared" si="9"/>
        <v>0.116097+55.973448i</v>
      </c>
      <c r="EE24" s="1" t="str">
        <f t="shared" si="10"/>
        <v>10.809473+5.183463i</v>
      </c>
      <c r="EF24" s="1" t="str">
        <f t="shared" si="11"/>
        <v>2.027591+4.205894i</v>
      </c>
      <c r="EG24" s="1" t="str">
        <f t="shared" si="12"/>
        <v>2.027691-1.418415i</v>
      </c>
      <c r="EI24" s="15"/>
      <c r="EJ24" s="15"/>
      <c r="FN24" s="1">
        <f t="shared" si="4"/>
        <v>4.8</v>
      </c>
      <c r="FO24" s="1">
        <f t="shared" si="5"/>
        <v>2.474556910581367</v>
      </c>
    </row>
    <row r="25" spans="2:171" ht="18" customHeight="1" x14ac:dyDescent="0.35">
      <c r="B25" s="6"/>
      <c r="C25" s="160" t="s">
        <v>69</v>
      </c>
      <c r="D25" s="160"/>
      <c r="E25" s="160"/>
      <c r="F25" s="160"/>
      <c r="G25" s="160"/>
      <c r="H25" s="160"/>
      <c r="I25" s="161"/>
      <c r="J25" s="162">
        <f>AK20</f>
        <v>278.12414534767834</v>
      </c>
      <c r="K25" s="163"/>
      <c r="L25" s="152">
        <v>0</v>
      </c>
      <c r="M25" s="153"/>
      <c r="N25" s="152">
        <v>0</v>
      </c>
      <c r="O25" s="153"/>
      <c r="P25" s="152">
        <v>0</v>
      </c>
      <c r="Q25" s="153"/>
      <c r="R25" s="152">
        <v>100</v>
      </c>
      <c r="S25" s="153"/>
      <c r="T25" s="152">
        <v>80</v>
      </c>
      <c r="U25" s="153"/>
      <c r="V25" s="152">
        <v>60</v>
      </c>
      <c r="W25" s="153"/>
      <c r="X25" s="152">
        <v>30</v>
      </c>
      <c r="Y25" s="153"/>
      <c r="Z25" s="152">
        <v>20</v>
      </c>
      <c r="AA25" s="153"/>
      <c r="AB25" s="152">
        <v>10</v>
      </c>
      <c r="AC25" s="153"/>
      <c r="AD25" s="152">
        <v>10</v>
      </c>
      <c r="AE25" s="153"/>
      <c r="AF25" s="152">
        <v>10</v>
      </c>
      <c r="AG25" s="153"/>
      <c r="AH25" s="152">
        <v>0</v>
      </c>
      <c r="AI25" s="153"/>
      <c r="AJ25" s="152">
        <v>0</v>
      </c>
      <c r="AK25" s="153"/>
      <c r="AL25" s="152">
        <v>10</v>
      </c>
      <c r="AM25" s="153"/>
      <c r="AN25" s="152">
        <v>10</v>
      </c>
      <c r="AO25" s="154"/>
      <c r="AP25" s="8"/>
      <c r="AR25" s="6"/>
      <c r="CF25" s="8"/>
      <c r="DW25" s="1">
        <f t="shared" si="14"/>
        <v>5</v>
      </c>
      <c r="DX25" s="12" t="str">
        <f t="shared" si="6"/>
        <v>0.0001-5.399337i</v>
      </c>
      <c r="DY25" s="13" t="str">
        <f t="shared" si="0"/>
        <v>0.000000001</v>
      </c>
      <c r="DZ25" s="13" t="str">
        <f t="shared" si="13"/>
        <v>0.010799+5.399337i</v>
      </c>
      <c r="EA25" s="14" t="str">
        <f t="shared" si="7"/>
        <v>10.798674+0.0001i</v>
      </c>
      <c r="EC25" s="1" t="str">
        <f t="shared" si="8"/>
        <v>0.010799+5.399337i</v>
      </c>
      <c r="ED25" s="1" t="str">
        <f t="shared" si="9"/>
        <v>0.116075+58.305681i</v>
      </c>
      <c r="EE25" s="1" t="str">
        <f t="shared" si="10"/>
        <v>10.809473+5.399437i</v>
      </c>
      <c r="EF25" s="1" t="str">
        <f t="shared" si="11"/>
        <v>2.164901+4.312554i</v>
      </c>
      <c r="EG25" s="1" t="str">
        <f t="shared" si="12"/>
        <v>2.165001-1.086783i</v>
      </c>
      <c r="FN25" s="1">
        <f t="shared" si="4"/>
        <v>5</v>
      </c>
      <c r="FO25" s="1">
        <f t="shared" si="5"/>
        <v>2.422462924193062</v>
      </c>
    </row>
    <row r="26" spans="2:171" ht="18" customHeight="1" x14ac:dyDescent="0.25">
      <c r="B26" s="6"/>
      <c r="AP26" s="8"/>
      <c r="AR26" s="6"/>
      <c r="CF26" s="27"/>
      <c r="DW26" s="1">
        <f t="shared" si="14"/>
        <v>5.2</v>
      </c>
      <c r="DX26" s="12" t="str">
        <f t="shared" si="6"/>
        <v>0.0001-5.19167i</v>
      </c>
      <c r="DY26" s="13" t="str">
        <f t="shared" si="0"/>
        <v>0.000000001</v>
      </c>
      <c r="DZ26" s="13" t="str">
        <f t="shared" si="13"/>
        <v>0.010799+5.61531i</v>
      </c>
      <c r="EA26" s="14" t="str">
        <f t="shared" si="7"/>
        <v>10.798674+0.0001i</v>
      </c>
      <c r="EC26" s="1" t="str">
        <f t="shared" si="8"/>
        <v>0.010799+5.61531i</v>
      </c>
      <c r="ED26" s="1" t="str">
        <f t="shared" si="9"/>
        <v>0.116053+60.637903i</v>
      </c>
      <c r="EE26" s="1" t="str">
        <f t="shared" si="10"/>
        <v>10.809473+5.61541i</v>
      </c>
      <c r="EF26" s="1" t="str">
        <f t="shared" si="11"/>
        <v>2.303321+4.413148i</v>
      </c>
      <c r="EG26" s="1" t="str">
        <f t="shared" si="12"/>
        <v>2.303421-0.778522i</v>
      </c>
      <c r="FN26" s="1">
        <f t="shared" si="4"/>
        <v>5.2</v>
      </c>
      <c r="FO26" s="1">
        <f t="shared" si="5"/>
        <v>2.4314285528727759</v>
      </c>
    </row>
    <row r="27" spans="2:171" ht="18" customHeight="1" x14ac:dyDescent="0.25">
      <c r="B27" s="6"/>
      <c r="C27" s="81" t="s">
        <v>70</v>
      </c>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
      <c r="AR27" s="6"/>
      <c r="CF27" s="8"/>
      <c r="DW27" s="1">
        <f t="shared" si="14"/>
        <v>5.4</v>
      </c>
      <c r="DX27" s="12" t="str">
        <f t="shared" si="6"/>
        <v>0.0001-4.999386i</v>
      </c>
      <c r="DY27" s="13" t="str">
        <f t="shared" si="0"/>
        <v>0.000000001</v>
      </c>
      <c r="DZ27" s="13" t="str">
        <f t="shared" si="13"/>
        <v>0.010799+5.831284i</v>
      </c>
      <c r="EA27" s="14" t="str">
        <f t="shared" si="7"/>
        <v>10.798674+0.0001i</v>
      </c>
      <c r="EC27" s="1" t="str">
        <f t="shared" si="8"/>
        <v>0.010799+5.831284i</v>
      </c>
      <c r="ED27" s="1" t="str">
        <f t="shared" si="9"/>
        <v>0.116032+62.970136i</v>
      </c>
      <c r="EE27" s="1" t="str">
        <f t="shared" si="10"/>
        <v>10.809473+5.831384i</v>
      </c>
      <c r="EF27" s="1" t="str">
        <f t="shared" si="11"/>
        <v>2.442545+4.507779i</v>
      </c>
      <c r="EG27" s="1" t="str">
        <f t="shared" si="12"/>
        <v>2.442645-0.491607i</v>
      </c>
      <c r="FN27" s="1">
        <f t="shared" si="4"/>
        <v>5.4</v>
      </c>
      <c r="FO27" s="1">
        <f t="shared" si="5"/>
        <v>2.4916243774842952</v>
      </c>
    </row>
    <row r="28" spans="2:171" ht="18" customHeight="1" x14ac:dyDescent="0.35">
      <c r="B28" s="155" t="s">
        <v>71</v>
      </c>
      <c r="C28" s="113"/>
      <c r="D28" s="113"/>
      <c r="E28" s="113"/>
      <c r="F28" s="113"/>
      <c r="G28" s="113"/>
      <c r="H28" s="113"/>
      <c r="I28" s="113"/>
      <c r="J28" s="113"/>
      <c r="K28" s="113"/>
      <c r="L28" s="113"/>
      <c r="M28" s="113"/>
      <c r="N28" s="113"/>
      <c r="O28" s="113"/>
      <c r="P28" s="113"/>
      <c r="Q28" s="113"/>
      <c r="R28" s="156"/>
      <c r="S28" s="157">
        <v>9.9600000000000009</v>
      </c>
      <c r="T28" s="158"/>
      <c r="U28" s="159"/>
      <c r="V28" s="1" t="s">
        <v>42</v>
      </c>
      <c r="AI28" s="29" t="s">
        <v>72</v>
      </c>
      <c r="AJ28" s="118">
        <f>AJ29/S29</f>
        <v>734.91692459657793</v>
      </c>
      <c r="AK28" s="118"/>
      <c r="AL28" s="118"/>
      <c r="AM28" s="1" t="s">
        <v>47</v>
      </c>
      <c r="AP28" s="8"/>
      <c r="AR28" s="6"/>
      <c r="CF28" s="8"/>
      <c r="DW28" s="1">
        <f t="shared" si="14"/>
        <v>5.6</v>
      </c>
      <c r="DX28" s="12" t="str">
        <f t="shared" si="6"/>
        <v>0.0001-4.820836i</v>
      </c>
      <c r="DY28" s="13" t="str">
        <f t="shared" si="0"/>
        <v>0.000000001</v>
      </c>
      <c r="DZ28" s="13" t="str">
        <f t="shared" si="13"/>
        <v>0.010799+6.047257i</v>
      </c>
      <c r="EA28" s="14" t="str">
        <f t="shared" si="7"/>
        <v>10.798674+0.0001i</v>
      </c>
      <c r="EC28" s="1" t="str">
        <f t="shared" si="8"/>
        <v>0.010799+6.047257i</v>
      </c>
      <c r="ED28" s="1" t="str">
        <f t="shared" si="9"/>
        <v>0.11601+65.302358i</v>
      </c>
      <c r="EE28" s="1" t="str">
        <f t="shared" si="10"/>
        <v>10.809473+6.047357i</v>
      </c>
      <c r="EF28" s="1" t="str">
        <f t="shared" si="11"/>
        <v>2.582277+4.596561i</v>
      </c>
      <c r="EG28" s="1" t="str">
        <f t="shared" si="12"/>
        <v>2.582377-0.224275i</v>
      </c>
      <c r="FN28" s="1">
        <f t="shared" si="4"/>
        <v>5.6</v>
      </c>
      <c r="FO28" s="1">
        <f t="shared" si="5"/>
        <v>2.592097653591392</v>
      </c>
    </row>
    <row r="29" spans="2:171" ht="18" customHeight="1" x14ac:dyDescent="0.35">
      <c r="B29" s="146" t="s">
        <v>73</v>
      </c>
      <c r="C29" s="119"/>
      <c r="D29" s="119"/>
      <c r="E29" s="119"/>
      <c r="F29" s="119"/>
      <c r="G29" s="119"/>
      <c r="H29" s="119"/>
      <c r="I29" s="119"/>
      <c r="J29" s="119"/>
      <c r="K29" s="119"/>
      <c r="L29" s="119"/>
      <c r="M29" s="119"/>
      <c r="N29" s="119"/>
      <c r="O29" s="119"/>
      <c r="P29" s="119"/>
      <c r="Q29" s="119"/>
      <c r="R29" s="147"/>
      <c r="S29" s="148">
        <v>5</v>
      </c>
      <c r="T29" s="149"/>
      <c r="U29" s="150"/>
      <c r="AI29" s="35" t="s">
        <v>74</v>
      </c>
      <c r="AJ29" s="107">
        <f>1000*(S28*S28)/AJ30</f>
        <v>3674.5846229828894</v>
      </c>
      <c r="AK29" s="107"/>
      <c r="AL29" s="107"/>
      <c r="AM29" s="1" t="s">
        <v>47</v>
      </c>
      <c r="AP29" s="8"/>
      <c r="AR29" s="6"/>
      <c r="CF29" s="8"/>
      <c r="DW29" s="1">
        <f t="shared" si="14"/>
        <v>5.8</v>
      </c>
      <c r="DX29" s="12" t="str">
        <f t="shared" si="6"/>
        <v>0.0001-4.654601i</v>
      </c>
      <c r="DY29" s="13" t="str">
        <f t="shared" si="0"/>
        <v>0.000000001</v>
      </c>
      <c r="DZ29" s="13" t="str">
        <f t="shared" si="13"/>
        <v>0.010799+6.263231i</v>
      </c>
      <c r="EA29" s="14" t="str">
        <f t="shared" si="7"/>
        <v>10.798674+0.0001i</v>
      </c>
      <c r="EC29" s="1" t="str">
        <f t="shared" si="8"/>
        <v>0.010799+6.263231i</v>
      </c>
      <c r="ED29" s="1" t="str">
        <f t="shared" si="9"/>
        <v>0.115989+67.634591i</v>
      </c>
      <c r="EE29" s="1" t="str">
        <f t="shared" si="10"/>
        <v>10.809473+6.263331i</v>
      </c>
      <c r="EF29" s="1" t="str">
        <f t="shared" si="11"/>
        <v>2.722244+4.679624i</v>
      </c>
      <c r="EG29" s="1" t="str">
        <f t="shared" si="12"/>
        <v>2.722344+0.025023i</v>
      </c>
      <c r="FN29" s="1">
        <f t="shared" si="4"/>
        <v>5.8</v>
      </c>
      <c r="FO29" s="1">
        <f t="shared" si="5"/>
        <v>2.7224589996664781</v>
      </c>
    </row>
    <row r="30" spans="2:171" ht="18" customHeight="1" x14ac:dyDescent="0.35">
      <c r="B30" s="6"/>
      <c r="J30" s="88" t="s">
        <v>319</v>
      </c>
      <c r="K30" s="88"/>
      <c r="L30" s="88"/>
      <c r="M30" s="88"/>
      <c r="N30" s="88"/>
      <c r="O30" s="88"/>
      <c r="P30" s="88"/>
      <c r="Q30" s="88"/>
      <c r="R30" s="88"/>
      <c r="S30" s="88"/>
      <c r="T30" s="88"/>
      <c r="U30" s="88"/>
      <c r="AI30" s="35" t="s">
        <v>75</v>
      </c>
      <c r="AJ30" s="78">
        <f>(S19*S19/(S19*S19-1))*AK17</f>
        <v>26.996684027777786</v>
      </c>
      <c r="AK30" s="78"/>
      <c r="AL30" s="78"/>
      <c r="AM30" s="1" t="s">
        <v>44</v>
      </c>
      <c r="AP30" s="8"/>
      <c r="AR30" s="6"/>
      <c r="CF30" s="8"/>
      <c r="DW30" s="1">
        <f t="shared" si="14"/>
        <v>6</v>
      </c>
      <c r="DX30" s="12" t="str">
        <f t="shared" si="6"/>
        <v>0.0001-4.499447i</v>
      </c>
      <c r="DY30" s="13" t="str">
        <f t="shared" si="0"/>
        <v>0.000000001</v>
      </c>
      <c r="DZ30" s="13" t="str">
        <f t="shared" si="13"/>
        <v>0.010799+6.479204i</v>
      </c>
      <c r="EA30" s="14" t="str">
        <f t="shared" si="7"/>
        <v>10.798674+0.0001i</v>
      </c>
      <c r="EC30" s="1" t="str">
        <f t="shared" si="8"/>
        <v>0.010799+6.479204i</v>
      </c>
      <c r="ED30" s="1" t="str">
        <f t="shared" si="9"/>
        <v>0.115967+69.966813i</v>
      </c>
      <c r="EE30" s="1" t="str">
        <f t="shared" si="10"/>
        <v>10.809473+6.479304i</v>
      </c>
      <c r="EF30" s="1" t="str">
        <f t="shared" si="11"/>
        <v>2.862186+4.757109i</v>
      </c>
      <c r="EG30" s="1" t="str">
        <f t="shared" si="12"/>
        <v>2.862286+0.257662i</v>
      </c>
      <c r="FN30" s="1">
        <f t="shared" si="4"/>
        <v>6</v>
      </c>
      <c r="FO30" s="1">
        <f t="shared" si="5"/>
        <v>2.8738599221326009</v>
      </c>
    </row>
    <row r="31" spans="2:171" ht="18" customHeight="1" x14ac:dyDescent="0.25">
      <c r="B31" s="6"/>
      <c r="AI31" s="29" t="s">
        <v>76</v>
      </c>
      <c r="AJ31" s="151">
        <f>ROUND(1000*1000/(2*3.1415*S20*AJ30),2)</f>
        <v>98.26</v>
      </c>
      <c r="AK31" s="151"/>
      <c r="AL31" s="151"/>
      <c r="AM31" s="1" t="s">
        <v>77</v>
      </c>
      <c r="AO31" s="41"/>
      <c r="AP31" s="8"/>
      <c r="AR31" s="6"/>
      <c r="CF31" s="8"/>
      <c r="DW31" s="1">
        <f t="shared" si="14"/>
        <v>6.2</v>
      </c>
      <c r="DX31" s="12" t="str">
        <f t="shared" si="6"/>
        <v>0.0001-4.354304i</v>
      </c>
      <c r="DY31" s="13" t="str">
        <f t="shared" si="0"/>
        <v>0.000000001</v>
      </c>
      <c r="DZ31" s="13" t="str">
        <f t="shared" si="13"/>
        <v>0.010799+6.695178i</v>
      </c>
      <c r="EA31" s="14" t="str">
        <f t="shared" si="7"/>
        <v>10.798674+0.0001i</v>
      </c>
      <c r="EC31" s="1" t="str">
        <f t="shared" si="8"/>
        <v>0.010799+6.695178i</v>
      </c>
      <c r="ED31" s="1" t="str">
        <f t="shared" si="9"/>
        <v>0.115945+72.299046i</v>
      </c>
      <c r="EE31" s="1" t="str">
        <f t="shared" si="10"/>
        <v>10.809473+6.695278i</v>
      </c>
      <c r="EF31" s="1" t="str">
        <f t="shared" si="11"/>
        <v>3.001863+4.829166i</v>
      </c>
      <c r="EG31" s="1" t="str">
        <f t="shared" si="12"/>
        <v>3.001963+0.474862i</v>
      </c>
      <c r="FN31" s="1">
        <f t="shared" si="4"/>
        <v>6.2</v>
      </c>
      <c r="FO31" s="1">
        <f t="shared" si="5"/>
        <v>3.0392886951411837</v>
      </c>
    </row>
    <row r="32" spans="2:171" ht="18" customHeight="1" x14ac:dyDescent="0.25">
      <c r="B32" s="6"/>
      <c r="AP32" s="8"/>
      <c r="AR32" s="6"/>
      <c r="CF32" s="8"/>
      <c r="DW32" s="1">
        <f t="shared" si="14"/>
        <v>6.4</v>
      </c>
      <c r="DX32" s="12" t="str">
        <f t="shared" si="6"/>
        <v>0.0001-4.218232i</v>
      </c>
      <c r="DY32" s="13" t="str">
        <f t="shared" si="0"/>
        <v>0.000000001</v>
      </c>
      <c r="DZ32" s="13" t="str">
        <f t="shared" si="13"/>
        <v>0.010799+6.911151i</v>
      </c>
      <c r="EA32" s="14" t="str">
        <f t="shared" si="7"/>
        <v>10.798674+0.0001i</v>
      </c>
      <c r="EC32" s="1" t="str">
        <f t="shared" si="8"/>
        <v>0.010799+6.911151i</v>
      </c>
      <c r="ED32" s="1" t="str">
        <f t="shared" si="9"/>
        <v>0.115924+74.631268i</v>
      </c>
      <c r="EE32" s="1" t="str">
        <f t="shared" si="10"/>
        <v>10.809473+6.911251i</v>
      </c>
      <c r="EF32" s="1" t="str">
        <f t="shared" si="11"/>
        <v>3.14105+4.895954i</v>
      </c>
      <c r="EG32" s="1" t="str">
        <f t="shared" si="12"/>
        <v>3.14115+0.677722i</v>
      </c>
      <c r="FN32" s="1">
        <f t="shared" si="4"/>
        <v>6.4</v>
      </c>
      <c r="FO32" s="1">
        <f t="shared" si="5"/>
        <v>3.2134296992129769</v>
      </c>
    </row>
    <row r="33" spans="2:171" ht="18" customHeight="1" x14ac:dyDescent="0.25">
      <c r="B33" s="6"/>
      <c r="C33" s="81" t="s">
        <v>78</v>
      </c>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
      <c r="AR33" s="6"/>
      <c r="CF33" s="8"/>
      <c r="DW33" s="1">
        <f t="shared" si="14"/>
        <v>6.6</v>
      </c>
      <c r="DX33" s="12" t="str">
        <f t="shared" si="6"/>
        <v>0.0001-4.090407i</v>
      </c>
      <c r="DY33" s="13" t="str">
        <f t="shared" si="0"/>
        <v>0.000000001</v>
      </c>
      <c r="DZ33" s="13" t="str">
        <f t="shared" si="13"/>
        <v>0.010799+7.127125i</v>
      </c>
      <c r="EA33" s="14" t="str">
        <f t="shared" si="7"/>
        <v>10.798674+0.0001i</v>
      </c>
      <c r="EC33" s="1" t="str">
        <f t="shared" si="8"/>
        <v>0.010799+7.127125i</v>
      </c>
      <c r="ED33" s="1" t="str">
        <f t="shared" si="9"/>
        <v>0.115902+76.963501i</v>
      </c>
      <c r="EE33" s="1" t="str">
        <f t="shared" si="10"/>
        <v>10.809473+7.127225i</v>
      </c>
      <c r="EF33" s="1" t="str">
        <f t="shared" si="11"/>
        <v>3.279541+4.95764i</v>
      </c>
      <c r="EG33" s="1" t="str">
        <f t="shared" si="12"/>
        <v>3.279641+0.867233i</v>
      </c>
      <c r="FN33" s="1">
        <f t="shared" si="4"/>
        <v>6.6</v>
      </c>
      <c r="FO33" s="1">
        <f t="shared" si="5"/>
        <v>3.3923646863463839</v>
      </c>
    </row>
    <row r="34" spans="2:171" ht="18" customHeight="1" x14ac:dyDescent="0.25">
      <c r="B34" s="6"/>
      <c r="C34" s="140" t="s">
        <v>79</v>
      </c>
      <c r="D34" s="140"/>
      <c r="E34" s="140"/>
      <c r="F34" s="140"/>
      <c r="G34" s="140"/>
      <c r="H34" s="140"/>
      <c r="I34" s="140"/>
      <c r="J34" s="140"/>
      <c r="K34" s="140"/>
      <c r="L34" s="140"/>
      <c r="M34" s="140"/>
      <c r="N34" s="140"/>
      <c r="O34" s="140"/>
      <c r="P34" s="140"/>
      <c r="Q34" s="140"/>
      <c r="R34" s="141"/>
      <c r="S34" s="142">
        <v>100</v>
      </c>
      <c r="T34" s="142"/>
      <c r="U34" s="142"/>
      <c r="V34" s="24"/>
      <c r="W34" s="143" t="s">
        <v>80</v>
      </c>
      <c r="X34" s="143"/>
      <c r="Y34" s="143"/>
      <c r="Z34" s="143"/>
      <c r="AA34" s="143"/>
      <c r="AB34" s="143"/>
      <c r="AC34" s="143"/>
      <c r="AD34" s="143"/>
      <c r="AE34" s="143"/>
      <c r="AF34" s="143"/>
      <c r="AG34" s="143"/>
      <c r="AH34" s="143"/>
      <c r="AI34" s="143"/>
      <c r="AJ34" s="144">
        <f>AJ30/(S19*S19)</f>
        <v>1.0798673611111114</v>
      </c>
      <c r="AK34" s="144"/>
      <c r="AL34" s="144"/>
      <c r="AM34" s="24" t="s">
        <v>81</v>
      </c>
      <c r="AN34" s="24"/>
      <c r="AO34" s="24"/>
      <c r="AP34" s="8"/>
      <c r="AR34" s="6"/>
      <c r="CF34" s="8"/>
      <c r="DW34" s="1">
        <f t="shared" si="14"/>
        <v>6.8</v>
      </c>
      <c r="DX34" s="12" t="str">
        <f t="shared" si="6"/>
        <v>0.0001-3.970101i</v>
      </c>
      <c r="DY34" s="13" t="str">
        <f t="shared" si="0"/>
        <v>0.000000001</v>
      </c>
      <c r="DZ34" s="13" t="str">
        <f t="shared" si="13"/>
        <v>0.010799+7.343098i</v>
      </c>
      <c r="EA34" s="14" t="str">
        <f t="shared" si="7"/>
        <v>10.798674+0.0001i</v>
      </c>
      <c r="EC34" s="1" t="str">
        <f t="shared" si="8"/>
        <v>0.010799+7.343098i</v>
      </c>
      <c r="ED34" s="1" t="str">
        <f t="shared" si="9"/>
        <v>0.115881+79.295723i</v>
      </c>
      <c r="EE34" s="1" t="str">
        <f t="shared" si="10"/>
        <v>10.809473+7.343198i</v>
      </c>
      <c r="EF34" s="1" t="str">
        <f t="shared" si="11"/>
        <v>3.417147+5.014392i</v>
      </c>
      <c r="EG34" s="1" t="str">
        <f t="shared" si="12"/>
        <v>3.417247+1.044291i</v>
      </c>
      <c r="FN34" s="1">
        <f t="shared" si="4"/>
        <v>6.8</v>
      </c>
      <c r="FO34" s="1">
        <f t="shared" si="5"/>
        <v>3.573250726116207</v>
      </c>
    </row>
    <row r="35" spans="2:171" ht="18" customHeight="1" x14ac:dyDescent="0.25">
      <c r="B35" s="6"/>
      <c r="C35" s="24"/>
      <c r="D35" s="24"/>
      <c r="E35" s="24"/>
      <c r="F35" s="24"/>
      <c r="G35" s="24"/>
      <c r="H35" s="24"/>
      <c r="I35" s="24"/>
      <c r="J35" s="24"/>
      <c r="K35" s="24"/>
      <c r="L35" s="24"/>
      <c r="M35" s="24"/>
      <c r="N35" s="24"/>
      <c r="O35" s="24"/>
      <c r="P35" s="24"/>
      <c r="Q35" s="42"/>
      <c r="R35" s="32" t="s">
        <v>82</v>
      </c>
      <c r="S35" s="145">
        <v>1.5</v>
      </c>
      <c r="T35" s="145"/>
      <c r="U35" s="145"/>
      <c r="V35" s="89" t="s">
        <v>83</v>
      </c>
      <c r="W35" s="89"/>
      <c r="X35" s="89"/>
      <c r="Y35" s="89"/>
      <c r="Z35" s="89"/>
      <c r="AA35" s="89"/>
      <c r="AB35" s="89"/>
      <c r="AC35" s="89"/>
      <c r="AD35" s="89"/>
      <c r="AE35" s="89"/>
      <c r="AF35" s="89"/>
      <c r="AG35" s="89"/>
      <c r="AH35" s="89"/>
      <c r="AI35" s="89"/>
      <c r="AJ35" s="78">
        <f>1000*AJ34/(2*3.1415*S20)</f>
        <v>2.8645216221314431</v>
      </c>
      <c r="AK35" s="78"/>
      <c r="AL35" s="78"/>
      <c r="AM35" s="24" t="s">
        <v>84</v>
      </c>
      <c r="AN35" s="24"/>
      <c r="AO35" s="24"/>
      <c r="AP35" s="8"/>
      <c r="AR35" s="6"/>
      <c r="CF35" s="8"/>
      <c r="DW35" s="1">
        <f t="shared" si="14"/>
        <v>7</v>
      </c>
      <c r="DX35" s="12" t="str">
        <f t="shared" si="6"/>
        <v>0.0001-3.856669i</v>
      </c>
      <c r="DY35" s="13" t="str">
        <f t="shared" si="0"/>
        <v>0.000000001</v>
      </c>
      <c r="DZ35" s="13" t="str">
        <f t="shared" si="13"/>
        <v>0.010799+7.559072i</v>
      </c>
      <c r="EA35" s="14" t="str">
        <f t="shared" si="7"/>
        <v>10.798674+0.0001i</v>
      </c>
      <c r="EC35" s="1" t="str">
        <f t="shared" si="8"/>
        <v>0.010799+7.559072i</v>
      </c>
      <c r="ED35" s="1" t="str">
        <f t="shared" si="9"/>
        <v>0.115859+81.627955i</v>
      </c>
      <c r="EE35" s="1" t="str">
        <f t="shared" si="10"/>
        <v>10.809473+7.559172i</v>
      </c>
      <c r="EF35" s="1" t="str">
        <f t="shared" si="11"/>
        <v>3.553693+5.066387i</v>
      </c>
      <c r="EG35" s="1" t="str">
        <f t="shared" si="12"/>
        <v>3.553793+1.209718i</v>
      </c>
      <c r="FN35" s="1">
        <f t="shared" si="4"/>
        <v>7</v>
      </c>
      <c r="FO35" s="1">
        <f t="shared" si="5"/>
        <v>3.7540461273635146</v>
      </c>
    </row>
    <row r="36" spans="2:171" ht="18" customHeight="1" x14ac:dyDescent="0.25">
      <c r="B36" s="6"/>
      <c r="C36" s="24"/>
      <c r="D36" s="24"/>
      <c r="E36" s="24"/>
      <c r="F36" s="24"/>
      <c r="G36" s="24"/>
      <c r="H36" s="24"/>
      <c r="I36" s="24"/>
      <c r="J36" s="24"/>
      <c r="K36" s="24"/>
      <c r="L36" s="24"/>
      <c r="M36" s="24"/>
      <c r="N36" s="24"/>
      <c r="O36" s="24"/>
      <c r="P36" s="24"/>
      <c r="Q36" s="24"/>
      <c r="R36" s="32" t="s">
        <v>86</v>
      </c>
      <c r="S36" s="108">
        <v>1.5</v>
      </c>
      <c r="T36" s="108"/>
      <c r="U36" s="108"/>
      <c r="V36" s="24"/>
      <c r="W36" s="24"/>
      <c r="X36" s="24"/>
      <c r="Y36" s="24"/>
      <c r="Z36" s="24"/>
      <c r="AA36" s="24"/>
      <c r="AB36" s="24"/>
      <c r="AC36" s="24"/>
      <c r="AD36" s="24"/>
      <c r="AE36" s="24"/>
      <c r="AF36" s="24"/>
      <c r="AG36" s="24"/>
      <c r="AH36" s="24"/>
      <c r="AI36" s="24"/>
      <c r="AJ36" s="24"/>
      <c r="AK36" s="24"/>
      <c r="AL36" s="24"/>
      <c r="AM36" s="24"/>
      <c r="AN36" s="24"/>
      <c r="AO36" s="24"/>
      <c r="AP36" s="8"/>
      <c r="AR36" s="6"/>
      <c r="CF36" s="8"/>
      <c r="DW36" s="1">
        <f t="shared" si="14"/>
        <v>7.2</v>
      </c>
      <c r="DX36" s="12" t="str">
        <f t="shared" si="6"/>
        <v>0.0001-3.749539i</v>
      </c>
      <c r="DY36" s="13" t="str">
        <f t="shared" si="0"/>
        <v>0.000000001</v>
      </c>
      <c r="DZ36" s="13" t="str">
        <f t="shared" si="13"/>
        <v>0.010799+7.775045i</v>
      </c>
      <c r="EA36" s="14" t="str">
        <f t="shared" si="7"/>
        <v>10.798674+0.0001i</v>
      </c>
      <c r="EC36" s="1" t="str">
        <f t="shared" si="8"/>
        <v>0.010799+7.775045i</v>
      </c>
      <c r="ED36" s="1" t="str">
        <f t="shared" si="9"/>
        <v>0.115837+83.960177i</v>
      </c>
      <c r="EE36" s="1" t="str">
        <f t="shared" si="10"/>
        <v>10.809473+7.775145i</v>
      </c>
      <c r="EF36" s="1" t="str">
        <f t="shared" si="11"/>
        <v>3.689022+5.113801i</v>
      </c>
      <c r="EG36" s="1" t="str">
        <f t="shared" si="12"/>
        <v>3.689122+1.364262i</v>
      </c>
      <c r="FN36" s="1">
        <f t="shared" si="4"/>
        <v>7.2</v>
      </c>
      <c r="FO36" s="1">
        <f t="shared" si="5"/>
        <v>3.9332978447516531</v>
      </c>
    </row>
    <row r="37" spans="2:171" ht="18" customHeight="1" x14ac:dyDescent="0.25">
      <c r="B37" s="6"/>
      <c r="AI37" s="29"/>
      <c r="AJ37" s="29"/>
      <c r="AK37" s="29"/>
      <c r="AL37" s="29"/>
      <c r="AP37" s="8"/>
      <c r="AR37" s="6"/>
      <c r="CF37" s="8"/>
      <c r="DW37" s="1">
        <f t="shared" si="14"/>
        <v>7.4</v>
      </c>
      <c r="DX37" s="12" t="str">
        <f t="shared" si="6"/>
        <v>0.0001-3.648201i</v>
      </c>
      <c r="DY37" s="13" t="str">
        <f t="shared" si="0"/>
        <v>0.000000001</v>
      </c>
      <c r="DZ37" s="13" t="str">
        <f t="shared" si="13"/>
        <v>0.010799+7.991018i</v>
      </c>
      <c r="EA37" s="14" t="str">
        <f t="shared" si="7"/>
        <v>10.798674+0.0001i</v>
      </c>
      <c r="EC37" s="1" t="str">
        <f t="shared" si="8"/>
        <v>0.010799+7.991018i</v>
      </c>
      <c r="ED37" s="1" t="str">
        <f t="shared" si="9"/>
        <v>0.115816+86.292399i</v>
      </c>
      <c r="EE37" s="1" t="str">
        <f t="shared" si="10"/>
        <v>10.809473+7.991118i</v>
      </c>
      <c r="EF37" s="1" t="str">
        <f t="shared" si="11"/>
        <v>3.822991+5.156813i</v>
      </c>
      <c r="EG37" s="1" t="str">
        <f t="shared" si="12"/>
        <v>3.823091+1.508612i</v>
      </c>
      <c r="FN37" s="1">
        <f t="shared" si="4"/>
        <v>7.4</v>
      </c>
      <c r="FO37" s="1">
        <f t="shared" si="5"/>
        <v>4.1099799221924433</v>
      </c>
    </row>
    <row r="38" spans="2:171" ht="18" customHeight="1" x14ac:dyDescent="0.25">
      <c r="B38" s="6"/>
      <c r="C38" s="81" t="s">
        <v>85</v>
      </c>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
      <c r="AR38" s="6"/>
      <c r="CF38" s="8"/>
      <c r="DW38" s="1">
        <f t="shared" si="14"/>
        <v>7.6</v>
      </c>
      <c r="DX38" s="12" t="str">
        <f t="shared" si="6"/>
        <v>0.0001-3.552195i</v>
      </c>
      <c r="DY38" s="13" t="str">
        <f t="shared" si="0"/>
        <v>0.000000001</v>
      </c>
      <c r="DZ38" s="13" t="str">
        <f t="shared" si="13"/>
        <v>0.010799+8.206992i</v>
      </c>
      <c r="EA38" s="14" t="str">
        <f t="shared" si="7"/>
        <v>10.798674+0.0001i</v>
      </c>
      <c r="EC38" s="1" t="str">
        <f t="shared" si="8"/>
        <v>0.010799+8.206992i</v>
      </c>
      <c r="ED38" s="1" t="str">
        <f t="shared" si="9"/>
        <v>0.115794+88.624632i</v>
      </c>
      <c r="EE38" s="1" t="str">
        <f t="shared" si="10"/>
        <v>10.809473+8.207092i</v>
      </c>
      <c r="EF38" s="1" t="str">
        <f t="shared" si="11"/>
        <v>3.955472+5.195601i</v>
      </c>
      <c r="EG38" s="1" t="str">
        <f t="shared" si="12"/>
        <v>3.955572+1.643406i</v>
      </c>
      <c r="FN38" s="1">
        <f t="shared" si="4"/>
        <v>7.6</v>
      </c>
      <c r="FO38" s="1">
        <f t="shared" si="5"/>
        <v>4.2833787047166396</v>
      </c>
    </row>
    <row r="39" spans="2:171" ht="18" customHeight="1" x14ac:dyDescent="0.25">
      <c r="B39" s="6"/>
      <c r="C39" s="24"/>
      <c r="D39" s="24"/>
      <c r="E39" s="24"/>
      <c r="F39" s="24"/>
      <c r="G39" s="24"/>
      <c r="H39" s="24"/>
      <c r="I39" s="24"/>
      <c r="J39" s="24"/>
      <c r="K39" s="24"/>
      <c r="L39" s="24"/>
      <c r="M39" s="24"/>
      <c r="N39" s="24"/>
      <c r="O39" s="24"/>
      <c r="P39" s="24"/>
      <c r="Q39" s="24"/>
      <c r="R39" s="32" t="s">
        <v>87</v>
      </c>
      <c r="S39" s="137">
        <v>100</v>
      </c>
      <c r="T39" s="138"/>
      <c r="U39" s="139"/>
      <c r="V39" s="33" t="s">
        <v>88</v>
      </c>
      <c r="W39" s="24"/>
      <c r="X39" s="24"/>
      <c r="Y39" s="24"/>
      <c r="Z39" s="24"/>
      <c r="AA39" s="24"/>
      <c r="AB39" s="24"/>
      <c r="AC39" s="24"/>
      <c r="AD39" s="24"/>
      <c r="AE39" s="24"/>
      <c r="AF39" s="24"/>
      <c r="AG39" s="24"/>
      <c r="AH39" s="24"/>
      <c r="AI39" s="24"/>
      <c r="AJ39" s="24"/>
      <c r="AK39" s="24"/>
      <c r="AL39" s="24"/>
      <c r="AM39" s="24"/>
      <c r="AN39" s="24"/>
      <c r="AO39" s="24"/>
      <c r="AP39" s="8"/>
      <c r="AR39" s="6"/>
      <c r="CF39" s="8"/>
      <c r="DW39" s="1">
        <f t="shared" si="14"/>
        <v>7.8</v>
      </c>
      <c r="DX39" s="12" t="str">
        <f t="shared" si="6"/>
        <v>0.0001-3.461113i</v>
      </c>
      <c r="DY39" s="13" t="str">
        <f t="shared" si="0"/>
        <v>0.000000001</v>
      </c>
      <c r="DZ39" s="13" t="str">
        <f t="shared" si="13"/>
        <v>0.010799+8.422965i</v>
      </c>
      <c r="EA39" s="14" t="str">
        <f t="shared" si="7"/>
        <v>10.798674+0.0001i</v>
      </c>
      <c r="EC39" s="1" t="str">
        <f t="shared" si="8"/>
        <v>0.010799+8.422965i</v>
      </c>
      <c r="ED39" s="1" t="str">
        <f t="shared" si="9"/>
        <v>0.115773+90.956854i</v>
      </c>
      <c r="EE39" s="1" t="str">
        <f t="shared" si="10"/>
        <v>10.809473+8.423065i</v>
      </c>
      <c r="EF39" s="1" t="str">
        <f t="shared" si="11"/>
        <v>4.086351+5.230344i</v>
      </c>
      <c r="EG39" s="1" t="str">
        <f t="shared" si="12"/>
        <v>4.086451+1.769231i</v>
      </c>
      <c r="FN39" s="1">
        <f t="shared" si="4"/>
        <v>7.8</v>
      </c>
      <c r="FO39" s="1">
        <f t="shared" si="5"/>
        <v>4.4530057384604849</v>
      </c>
    </row>
    <row r="40" spans="2:171" ht="18" customHeight="1" x14ac:dyDescent="0.35">
      <c r="B40" s="6"/>
      <c r="C40" s="24"/>
      <c r="D40" s="24"/>
      <c r="E40" s="24"/>
      <c r="F40" s="24"/>
      <c r="G40" s="24"/>
      <c r="H40" s="24"/>
      <c r="I40" s="24"/>
      <c r="J40" s="24"/>
      <c r="K40" s="24"/>
      <c r="L40" s="24"/>
      <c r="M40" s="24"/>
      <c r="N40" s="35" t="s">
        <v>89</v>
      </c>
      <c r="O40" s="85">
        <f>SQRT(AJ41*1000/AJ40)</f>
        <v>90.213481760736272</v>
      </c>
      <c r="P40" s="85"/>
      <c r="Q40" s="85"/>
      <c r="R40" s="24" t="s">
        <v>49</v>
      </c>
      <c r="S40" s="24"/>
      <c r="T40" s="24"/>
      <c r="U40" s="24"/>
      <c r="V40" s="24"/>
      <c r="W40" s="24"/>
      <c r="X40" s="24"/>
      <c r="Y40" s="24"/>
      <c r="Z40" s="24"/>
      <c r="AA40" s="24"/>
      <c r="AB40" s="24"/>
      <c r="AC40" s="24"/>
      <c r="AD40" s="24"/>
      <c r="AE40" s="24"/>
      <c r="AF40" s="24"/>
      <c r="AG40" s="24"/>
      <c r="AH40" s="24"/>
      <c r="AI40" s="32" t="s">
        <v>90</v>
      </c>
      <c r="AJ40" s="78">
        <f>S21*AJ34*S19</f>
        <v>10.798673611111113</v>
      </c>
      <c r="AK40" s="78"/>
      <c r="AL40" s="78"/>
      <c r="AM40" s="24" t="s">
        <v>44</v>
      </c>
      <c r="AN40" s="24"/>
      <c r="AO40" s="24"/>
      <c r="AP40" s="8"/>
      <c r="AR40" s="6"/>
      <c r="CF40" s="8"/>
      <c r="DW40" s="1">
        <f t="shared" si="14"/>
        <v>8</v>
      </c>
      <c r="DX40" s="12" t="str">
        <f t="shared" si="6"/>
        <v>0.0001-3.374586i</v>
      </c>
      <c r="DY40" s="13" t="str">
        <f t="shared" si="0"/>
        <v>0.000000001</v>
      </c>
      <c r="DZ40" s="13" t="str">
        <f t="shared" si="13"/>
        <v>0.010799+8.638939i</v>
      </c>
      <c r="EA40" s="14" t="str">
        <f t="shared" si="7"/>
        <v>10.798674+0.0001i</v>
      </c>
      <c r="EC40" s="1" t="str">
        <f t="shared" si="8"/>
        <v>0.010799+8.638939i</v>
      </c>
      <c r="ED40" s="1" t="str">
        <f t="shared" si="9"/>
        <v>0.115751+93.289087i</v>
      </c>
      <c r="EE40" s="1" t="str">
        <f t="shared" si="10"/>
        <v>10.809473+8.639039i</v>
      </c>
      <c r="EF40" s="1" t="str">
        <f t="shared" si="11"/>
        <v>4.215526+5.261218i</v>
      </c>
      <c r="EG40" s="1" t="str">
        <f t="shared" si="12"/>
        <v>4.215626+1.886632i</v>
      </c>
      <c r="FN40" s="1">
        <f t="shared" si="4"/>
        <v>8</v>
      </c>
      <c r="FO40" s="1">
        <f t="shared" si="5"/>
        <v>4.6185368760355265</v>
      </c>
    </row>
    <row r="41" spans="2:171" ht="18" customHeight="1" x14ac:dyDescent="0.35">
      <c r="B41" s="6"/>
      <c r="N41" s="35" t="s">
        <v>91</v>
      </c>
      <c r="O41" s="78">
        <f>SQRT((S39*1000)/AJ40)</f>
        <v>96.230954290296708</v>
      </c>
      <c r="P41" s="78"/>
      <c r="Q41" s="78"/>
      <c r="R41" s="24" t="s">
        <v>49</v>
      </c>
      <c r="S41" s="24"/>
      <c r="T41" s="24"/>
      <c r="U41" s="24"/>
      <c r="V41" s="24"/>
      <c r="W41" s="24"/>
      <c r="X41" s="24"/>
      <c r="Y41" s="24"/>
      <c r="Z41" s="24"/>
      <c r="AA41" s="24"/>
      <c r="AB41" s="24"/>
      <c r="AC41" s="24"/>
      <c r="AD41" s="24"/>
      <c r="AE41" s="24"/>
      <c r="AF41" s="24"/>
      <c r="AG41" s="24"/>
      <c r="AH41" s="24"/>
      <c r="AI41" s="32" t="s">
        <v>92</v>
      </c>
      <c r="AJ41" s="78">
        <f>(SUM(EA279:EP279))/1000</f>
        <v>87.884705967842891</v>
      </c>
      <c r="AK41" s="78"/>
      <c r="AL41" s="78"/>
      <c r="AM41" s="24" t="s">
        <v>88</v>
      </c>
      <c r="AN41" s="24"/>
      <c r="AO41" s="24"/>
      <c r="AP41" s="8"/>
      <c r="AR41" s="6"/>
      <c r="CF41" s="8"/>
      <c r="DW41" s="1">
        <f t="shared" si="14"/>
        <v>8.1999999999999993</v>
      </c>
      <c r="DX41" s="12" t="str">
        <f t="shared" si="6"/>
        <v>0.0001-3.292279i</v>
      </c>
      <c r="DY41" s="13" t="str">
        <f t="shared" si="0"/>
        <v>0.000000001</v>
      </c>
      <c r="DZ41" s="13" t="str">
        <f t="shared" si="13"/>
        <v>0.010799+8.854912i</v>
      </c>
      <c r="EA41" s="14" t="str">
        <f t="shared" si="7"/>
        <v>10.798674+0.0001i</v>
      </c>
      <c r="EC41" s="1" t="str">
        <f t="shared" si="8"/>
        <v>0.010799+8.854912i</v>
      </c>
      <c r="ED41" s="1" t="str">
        <f t="shared" si="9"/>
        <v>0.115729+95.621309i</v>
      </c>
      <c r="EE41" s="1" t="str">
        <f t="shared" si="10"/>
        <v>10.809473+8.855012i</v>
      </c>
      <c r="EF41" s="1" t="str">
        <f t="shared" si="11"/>
        <v>4.342909+5.288398i</v>
      </c>
      <c r="EG41" s="1" t="str">
        <f t="shared" si="12"/>
        <v>4.343009+1.996119i</v>
      </c>
      <c r="FN41" s="1">
        <f t="shared" si="4"/>
        <v>8.1999999999999993</v>
      </c>
      <c r="FO41" s="1">
        <f t="shared" si="5"/>
        <v>4.7797717765853633</v>
      </c>
    </row>
    <row r="42" spans="2:171" ht="18" customHeight="1" x14ac:dyDescent="0.25">
      <c r="B42" s="6"/>
      <c r="AP42" s="8"/>
      <c r="AR42" s="6"/>
      <c r="CF42" s="8"/>
      <c r="DX42" s="12"/>
      <c r="DY42" s="13"/>
      <c r="DZ42" s="13"/>
      <c r="EA42" s="14"/>
      <c r="FN42" s="1">
        <f>DW44</f>
        <v>8.4</v>
      </c>
      <c r="FO42" s="1">
        <f>IMABS(EG44)</f>
        <v>4.9365978532877275</v>
      </c>
    </row>
    <row r="43" spans="2:171" ht="18" customHeight="1" x14ac:dyDescent="0.25">
      <c r="B43" s="6"/>
      <c r="AP43" s="8"/>
      <c r="AR43" s="6"/>
      <c r="CF43" s="8"/>
      <c r="DX43" s="12"/>
      <c r="DY43" s="13"/>
      <c r="DZ43" s="13"/>
      <c r="EA43" s="14"/>
      <c r="FN43" s="1">
        <f>DW45</f>
        <v>8.6</v>
      </c>
      <c r="FO43" s="1">
        <f>IMABS(EG45)</f>
        <v>5.0889673243399791</v>
      </c>
    </row>
    <row r="44" spans="2:171" ht="18" customHeight="1" x14ac:dyDescent="0.25">
      <c r="B44" s="28"/>
      <c r="AP44" s="43"/>
      <c r="AR44" s="6"/>
      <c r="CF44" s="8"/>
      <c r="DW44" s="1">
        <f>ROUND(DW41+0.2,1)</f>
        <v>8.4</v>
      </c>
      <c r="DX44" s="12" t="str">
        <f t="shared" si="6"/>
        <v>0.0001-3.213891i</v>
      </c>
      <c r="DY44" s="13" t="str">
        <f>COMPLEX(0.000000001,-1*$CL$25/DW44)</f>
        <v>0.000000001</v>
      </c>
      <c r="DZ44" s="13" t="str">
        <f t="shared" si="13"/>
        <v>0.010799+9.070886i</v>
      </c>
      <c r="EA44" s="14" t="str">
        <f t="shared" si="7"/>
        <v>10.798674+0.0001i</v>
      </c>
      <c r="EC44" s="1" t="str">
        <f t="shared" si="8"/>
        <v>0.010799+9.070886i</v>
      </c>
      <c r="ED44" s="1" t="str">
        <f t="shared" si="9"/>
        <v>0.115708+97.953542i</v>
      </c>
      <c r="EE44" s="1" t="str">
        <f t="shared" si="10"/>
        <v>10.809473+9.070986i</v>
      </c>
      <c r="EF44" s="1" t="str">
        <f t="shared" si="11"/>
        <v>4.468423+5.312057i</v>
      </c>
      <c r="EG44" s="1" t="str">
        <f t="shared" si="12"/>
        <v>4.468523+2.098166i</v>
      </c>
      <c r="FN44" s="1">
        <f>DW46</f>
        <v>8.8000000000000007</v>
      </c>
      <c r="FO44" s="1">
        <f>IMABS(EG46)</f>
        <v>5.2368806349845327</v>
      </c>
    </row>
    <row r="45" spans="2:171" ht="18" customHeight="1" x14ac:dyDescent="0.25">
      <c r="B45" s="28"/>
      <c r="AP45" s="43"/>
      <c r="AR45" s="6"/>
      <c r="CF45" s="8"/>
      <c r="DW45" s="1">
        <f t="shared" si="14"/>
        <v>8.6</v>
      </c>
      <c r="DX45" s="12" t="str">
        <f t="shared" si="6"/>
        <v>0.0001-3.139149i</v>
      </c>
      <c r="DY45" s="13" t="str">
        <f>COMPLEX(0.000000001,-1*$CL$25/DW45)</f>
        <v>0.000000001</v>
      </c>
      <c r="DZ45" s="13" t="str">
        <f t="shared" si="13"/>
        <v>0.010799+9.286859i</v>
      </c>
      <c r="EA45" s="14" t="str">
        <f t="shared" si="7"/>
        <v>10.798674+0.0001i</v>
      </c>
      <c r="EC45" s="1" t="str">
        <f t="shared" si="8"/>
        <v>0.010799+9.286859i</v>
      </c>
      <c r="ED45" s="1" t="str">
        <f t="shared" si="9"/>
        <v>0.115686+100.285764i</v>
      </c>
      <c r="EE45" s="1" t="str">
        <f t="shared" si="10"/>
        <v>10.809473+9.286959i</v>
      </c>
      <c r="EF45" s="1" t="str">
        <f t="shared" si="11"/>
        <v>4.592002+5.332363i</v>
      </c>
      <c r="EG45" s="1" t="str">
        <f t="shared" si="12"/>
        <v>4.592102+2.193214i</v>
      </c>
      <c r="FN45" s="1">
        <f t="shared" ref="FN45:FN108" si="15">DW48</f>
        <v>9</v>
      </c>
      <c r="FO45" s="1">
        <f t="shared" ref="FO45:FO108" si="16">IMABS(EG48)</f>
        <v>5.3803737064631489</v>
      </c>
    </row>
    <row r="46" spans="2:171" ht="18" customHeight="1" x14ac:dyDescent="0.25">
      <c r="B46" s="6"/>
      <c r="AP46" s="43"/>
      <c r="AR46" s="6"/>
      <c r="CF46" s="8"/>
      <c r="DW46" s="1">
        <f t="shared" si="14"/>
        <v>8.8000000000000007</v>
      </c>
      <c r="DX46" s="12" t="str">
        <f t="shared" si="6"/>
        <v>0.0001-3.067805i</v>
      </c>
      <c r="DY46" s="13" t="str">
        <f>COMPLEX(0.000000001,-1*$CL$25/DW46)</f>
        <v>0.000000001</v>
      </c>
      <c r="DZ46" s="13" t="str">
        <f t="shared" si="13"/>
        <v>0.010799+9.502833i</v>
      </c>
      <c r="EA46" s="14" t="str">
        <f t="shared" si="7"/>
        <v>10.798674+0.0001i</v>
      </c>
      <c r="EC46" s="1" t="str">
        <f t="shared" si="8"/>
        <v>0.010799+9.502833i</v>
      </c>
      <c r="ED46" s="1" t="str">
        <f t="shared" si="9"/>
        <v>0.115665+102.617997i</v>
      </c>
      <c r="EE46" s="1" t="str">
        <f t="shared" si="10"/>
        <v>10.809473+9.502933i</v>
      </c>
      <c r="EF46" s="1" t="str">
        <f t="shared" si="11"/>
        <v>4.71359+5.349481i</v>
      </c>
      <c r="EG46" s="1" t="str">
        <f t="shared" si="12"/>
        <v>4.71369+2.281676i</v>
      </c>
      <c r="FN46" s="1">
        <f t="shared" si="15"/>
        <v>9.1999999999999993</v>
      </c>
      <c r="FO46" s="1">
        <f t="shared" si="16"/>
        <v>5.5195108053428976</v>
      </c>
    </row>
    <row r="47" spans="2:171" ht="18" customHeight="1" thickBot="1" x14ac:dyDescent="0.3">
      <c r="B47" s="6"/>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1"/>
      <c r="AO47" s="11"/>
      <c r="AP47" s="8"/>
      <c r="AR47" s="6"/>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1"/>
      <c r="CE47" s="10"/>
      <c r="CF47" s="8"/>
      <c r="DX47" s="12"/>
      <c r="DY47" s="13"/>
      <c r="DZ47" s="13"/>
      <c r="EA47" s="14"/>
      <c r="FN47" s="1">
        <f t="shared" si="15"/>
        <v>9.4</v>
      </c>
      <c r="FO47" s="1">
        <f t="shared" si="16"/>
        <v>5.6543695696567271</v>
      </c>
    </row>
    <row r="48" spans="2:171" ht="18" customHeight="1" x14ac:dyDescent="0.25">
      <c r="B48" s="6"/>
      <c r="D48" s="44" t="s">
        <v>94</v>
      </c>
      <c r="AO48" s="45" t="s">
        <v>333</v>
      </c>
      <c r="AP48" s="8"/>
      <c r="AR48" s="6"/>
      <c r="AT48" s="44" t="s">
        <v>94</v>
      </c>
      <c r="CE48" s="29" t="s">
        <v>96</v>
      </c>
      <c r="CF48" s="8"/>
      <c r="DW48" s="1">
        <f>ROUND(DW46+0.2,1)</f>
        <v>9</v>
      </c>
      <c r="DX48" s="12" t="str">
        <f t="shared" si="6"/>
        <v>0.0001-2.999632i</v>
      </c>
      <c r="DY48" s="13" t="str">
        <f t="shared" ref="DY48:DY111" si="17">COMPLEX(0.000000001,-1*$CL$25/DW48)</f>
        <v>0.000000001</v>
      </c>
      <c r="DZ48" s="13" t="str">
        <f t="shared" si="13"/>
        <v>0.010799+9.718806i</v>
      </c>
      <c r="EA48" s="14" t="str">
        <f t="shared" si="7"/>
        <v>10.798674+0.0001i</v>
      </c>
      <c r="EC48" s="1" t="str">
        <f t="shared" si="8"/>
        <v>0.010799+9.718806i</v>
      </c>
      <c r="ED48" s="1" t="str">
        <f t="shared" si="9"/>
        <v>0.115643+104.950219i</v>
      </c>
      <c r="EE48" s="1" t="str">
        <f t="shared" si="10"/>
        <v>10.809473+9.718906i</v>
      </c>
      <c r="EF48" s="1" t="str">
        <f t="shared" si="11"/>
        <v>4.83314+5.363572i</v>
      </c>
      <c r="EG48" s="1" t="str">
        <f t="shared" si="12"/>
        <v>4.83324+2.36394i</v>
      </c>
      <c r="FN48" s="1">
        <f t="shared" si="15"/>
        <v>9.6</v>
      </c>
      <c r="FO48" s="1">
        <f t="shared" si="16"/>
        <v>5.7850479738207881</v>
      </c>
    </row>
    <row r="49" spans="2:171" ht="18" customHeight="1" x14ac:dyDescent="0.25">
      <c r="B49" s="46"/>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8"/>
      <c r="AR49" s="46"/>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8"/>
      <c r="DW49" s="1">
        <f t="shared" si="14"/>
        <v>9.1999999999999993</v>
      </c>
      <c r="DX49" s="12" t="str">
        <f t="shared" si="6"/>
        <v>0.0001-2.934422i</v>
      </c>
      <c r="DY49" s="13" t="str">
        <f t="shared" si="17"/>
        <v>0.000000001</v>
      </c>
      <c r="DZ49" s="13" t="str">
        <f t="shared" si="13"/>
        <v>0.010799+9.93478i</v>
      </c>
      <c r="EA49" s="14" t="str">
        <f t="shared" si="7"/>
        <v>10.798674+0.0001i</v>
      </c>
      <c r="EC49" s="1" t="str">
        <f t="shared" si="8"/>
        <v>0.010799+9.93478i</v>
      </c>
      <c r="ED49" s="1" t="str">
        <f t="shared" si="9"/>
        <v>0.115621+107.282452i</v>
      </c>
      <c r="EE49" s="1" t="str">
        <f t="shared" si="10"/>
        <v>10.809473+9.93488i</v>
      </c>
      <c r="EF49" s="1" t="str">
        <f t="shared" si="11"/>
        <v>4.950616+5.374793i</v>
      </c>
      <c r="EG49" s="1" t="str">
        <f t="shared" si="12"/>
        <v>4.950716+2.440371i</v>
      </c>
      <c r="FN49" s="1">
        <f t="shared" si="15"/>
        <v>9.8000000000000007</v>
      </c>
      <c r="FO49" s="1">
        <f t="shared" si="16"/>
        <v>5.911646733895811</v>
      </c>
    </row>
    <row r="50" spans="2:171" ht="18" customHeight="1" x14ac:dyDescent="0.25">
      <c r="DW50" s="1">
        <f t="shared" si="14"/>
        <v>9.4</v>
      </c>
      <c r="DX50" s="12" t="str">
        <f t="shared" si="6"/>
        <v>0.0001-2.871988i</v>
      </c>
      <c r="DY50" s="13" t="str">
        <f t="shared" si="17"/>
        <v>0.000000001</v>
      </c>
      <c r="DZ50" s="13" t="str">
        <f t="shared" si="13"/>
        <v>0.010799+10.150753i</v>
      </c>
      <c r="EA50" s="14" t="str">
        <f t="shared" si="7"/>
        <v>10.798674+0.0001i</v>
      </c>
      <c r="EC50" s="1" t="str">
        <f t="shared" si="8"/>
        <v>0.010799+10.150753i</v>
      </c>
      <c r="ED50" s="1" t="str">
        <f t="shared" si="9"/>
        <v>0.1156+109.614674i</v>
      </c>
      <c r="EE50" s="1" t="str">
        <f t="shared" si="10"/>
        <v>10.809473+10.150853i</v>
      </c>
      <c r="EF50" s="1" t="str">
        <f t="shared" si="11"/>
        <v>5.065986+5.383296i</v>
      </c>
      <c r="EG50" s="1" t="str">
        <f t="shared" si="12"/>
        <v>5.066086+2.511308i</v>
      </c>
      <c r="FN50" s="1">
        <f t="shared" si="15"/>
        <v>10</v>
      </c>
      <c r="FO50" s="1">
        <f t="shared" si="16"/>
        <v>6.0342782486461459</v>
      </c>
    </row>
    <row r="51" spans="2:171" ht="18" customHeight="1" x14ac:dyDescent="0.25">
      <c r="B51" s="3"/>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5"/>
      <c r="AR51" s="3"/>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5"/>
      <c r="DW51" s="1">
        <f t="shared" si="14"/>
        <v>9.6</v>
      </c>
      <c r="DX51" s="12" t="str">
        <f t="shared" si="6"/>
        <v>0.0001-2.812155i</v>
      </c>
      <c r="DY51" s="13" t="str">
        <f t="shared" si="17"/>
        <v>0.000000001</v>
      </c>
      <c r="DZ51" s="13" t="str">
        <f t="shared" si="13"/>
        <v>0.010799+10.366727i</v>
      </c>
      <c r="EA51" s="14" t="str">
        <f t="shared" si="7"/>
        <v>10.798674+0.0001i</v>
      </c>
      <c r="EC51" s="1" t="str">
        <f t="shared" si="8"/>
        <v>0.010799+10.366727i</v>
      </c>
      <c r="ED51" s="1" t="str">
        <f t="shared" si="9"/>
        <v>0.115578+111.946906i</v>
      </c>
      <c r="EE51" s="1" t="str">
        <f t="shared" si="10"/>
        <v>10.809473+10.366827i</v>
      </c>
      <c r="EF51" s="1" t="str">
        <f t="shared" si="11"/>
        <v>5.179232+5.389227i</v>
      </c>
      <c r="EG51" s="1" t="str">
        <f t="shared" si="12"/>
        <v>5.179332+2.577072i</v>
      </c>
      <c r="FN51" s="1">
        <f t="shared" si="15"/>
        <v>10.199999999999999</v>
      </c>
      <c r="FO51" s="1">
        <f t="shared" si="16"/>
        <v>6.1530534564986521</v>
      </c>
    </row>
    <row r="52" spans="2:171" ht="18" customHeight="1" x14ac:dyDescent="0.25">
      <c r="B52" s="6"/>
      <c r="AN52" s="7"/>
      <c r="AP52" s="8"/>
      <c r="AR52" s="6"/>
      <c r="CD52" s="7"/>
      <c r="CF52" s="8"/>
      <c r="DW52" s="1">
        <f t="shared" si="14"/>
        <v>9.8000000000000007</v>
      </c>
      <c r="DX52" s="12" t="str">
        <f t="shared" si="6"/>
        <v>0.0001-2.754764i</v>
      </c>
      <c r="DY52" s="13" t="str">
        <f t="shared" si="17"/>
        <v>0.000000001</v>
      </c>
      <c r="DZ52" s="13" t="str">
        <f t="shared" si="13"/>
        <v>0.010799+10.5827i</v>
      </c>
      <c r="EA52" s="14" t="str">
        <f t="shared" si="7"/>
        <v>10.798674+0.0001i</v>
      </c>
      <c r="EC52" s="1" t="str">
        <f t="shared" si="8"/>
        <v>0.010799+10.5827i</v>
      </c>
      <c r="ED52" s="1" t="str">
        <f t="shared" si="9"/>
        <v>0.115557+114.279128i</v>
      </c>
      <c r="EE52" s="1" t="str">
        <f t="shared" si="10"/>
        <v>10.809473+10.5828i</v>
      </c>
      <c r="EF52" s="1" t="str">
        <f t="shared" si="11"/>
        <v>5.290335+5.39273i</v>
      </c>
      <c r="EG52" s="1" t="str">
        <f t="shared" si="12"/>
        <v>5.290435+2.637966i</v>
      </c>
      <c r="FN52" s="1">
        <f t="shared" si="15"/>
        <v>10.4</v>
      </c>
      <c r="FO52" s="1">
        <f t="shared" si="16"/>
        <v>6.268089430962835</v>
      </c>
    </row>
    <row r="53" spans="2:171" ht="18" customHeight="1" x14ac:dyDescent="0.25">
      <c r="B53" s="6"/>
      <c r="AN53" s="9"/>
      <c r="AP53" s="8"/>
      <c r="AR53" s="6"/>
      <c r="CD53" s="9"/>
      <c r="CF53" s="8"/>
      <c r="DW53" s="1">
        <f t="shared" si="14"/>
        <v>10</v>
      </c>
      <c r="DX53" s="12" t="str">
        <f t="shared" si="6"/>
        <v>0.0001-2.699668i</v>
      </c>
      <c r="DY53" s="13" t="str">
        <f t="shared" si="17"/>
        <v>0.000000001</v>
      </c>
      <c r="DZ53" s="13" t="str">
        <f t="shared" si="13"/>
        <v>0.010799+10.798674i</v>
      </c>
      <c r="EA53" s="14" t="str">
        <f t="shared" si="7"/>
        <v>10.798674+0.0001i</v>
      </c>
      <c r="EC53" s="1" t="str">
        <f t="shared" si="8"/>
        <v>0.010799+10.798674i</v>
      </c>
      <c r="ED53" s="1" t="str">
        <f t="shared" si="9"/>
        <v>0.115535+116.611361i</v>
      </c>
      <c r="EE53" s="1" t="str">
        <f t="shared" si="10"/>
        <v>10.809473+10.798774i</v>
      </c>
      <c r="EF53" s="1" t="str">
        <f t="shared" si="11"/>
        <v>5.39929+5.39394i</v>
      </c>
      <c r="EG53" s="1" t="str">
        <f t="shared" si="12"/>
        <v>5.39939+2.694272i</v>
      </c>
      <c r="FN53" s="1">
        <f t="shared" si="15"/>
        <v>10.6</v>
      </c>
      <c r="FO53" s="1">
        <f t="shared" si="16"/>
        <v>6.3795026387122844</v>
      </c>
    </row>
    <row r="54" spans="2:171" ht="18" customHeight="1" thickBot="1" x14ac:dyDescent="0.3">
      <c r="B54" s="6"/>
      <c r="C54" s="10" t="str">
        <f>H12 &amp; " | " &amp; AE13</f>
        <v>Enter Customer PO #  | Stage 1</v>
      </c>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1"/>
      <c r="AO54" s="10"/>
      <c r="AP54" s="8"/>
      <c r="AR54" s="6"/>
      <c r="AS54" s="134" t="str">
        <f>H12 &amp; " | " &amp; AE13</f>
        <v>Enter Customer PO #  | Stage 1</v>
      </c>
      <c r="AT54" s="134"/>
      <c r="AU54" s="134"/>
      <c r="AV54" s="134"/>
      <c r="AW54" s="134"/>
      <c r="AX54" s="134"/>
      <c r="AY54" s="134"/>
      <c r="AZ54" s="134"/>
      <c r="BA54" s="134"/>
      <c r="BB54" s="134"/>
      <c r="BC54" s="134"/>
      <c r="BD54" s="134"/>
      <c r="BE54" s="134"/>
      <c r="BF54" s="134"/>
      <c r="BG54" s="134"/>
      <c r="BH54" s="10"/>
      <c r="BI54" s="10"/>
      <c r="BJ54" s="10"/>
      <c r="BK54" s="10"/>
      <c r="BL54" s="10"/>
      <c r="BM54" s="10"/>
      <c r="BN54" s="10"/>
      <c r="BO54" s="10"/>
      <c r="BP54" s="10"/>
      <c r="BQ54" s="10"/>
      <c r="BR54" s="10"/>
      <c r="BS54" s="10"/>
      <c r="BT54" s="10"/>
      <c r="BU54" s="10"/>
      <c r="BV54" s="10"/>
      <c r="BW54" s="10"/>
      <c r="BX54" s="10"/>
      <c r="BY54" s="10"/>
      <c r="BZ54" s="10"/>
      <c r="CA54" s="10"/>
      <c r="CB54" s="10"/>
      <c r="CC54" s="10"/>
      <c r="CD54" s="11"/>
      <c r="CE54" s="10"/>
      <c r="CF54" s="8"/>
      <c r="DW54" s="1">
        <f t="shared" si="14"/>
        <v>10.199999999999999</v>
      </c>
      <c r="DX54" s="12" t="str">
        <f t="shared" si="6"/>
        <v>0.0001-2.646734i</v>
      </c>
      <c r="DY54" s="13" t="str">
        <f t="shared" si="17"/>
        <v>0.000000001</v>
      </c>
      <c r="DZ54" s="13" t="str">
        <f t="shared" si="13"/>
        <v>0.010799+11.014647i</v>
      </c>
      <c r="EA54" s="14" t="str">
        <f t="shared" si="7"/>
        <v>10.798674+0.0001i</v>
      </c>
      <c r="EC54" s="1" t="str">
        <f t="shared" si="8"/>
        <v>0.010799+11.014647i</v>
      </c>
      <c r="ED54" s="1" t="str">
        <f t="shared" si="9"/>
        <v>0.115513+118.943583i</v>
      </c>
      <c r="EE54" s="1" t="str">
        <f t="shared" si="10"/>
        <v>10.809473+11.014747i</v>
      </c>
      <c r="EF54" s="1" t="str">
        <f t="shared" si="11"/>
        <v>5.506091+5.392991i</v>
      </c>
      <c r="EG54" s="1" t="str">
        <f t="shared" si="12"/>
        <v>5.506191+2.746257i</v>
      </c>
      <c r="FN54" s="1">
        <f t="shared" si="15"/>
        <v>10.8</v>
      </c>
      <c r="FO54" s="1">
        <f t="shared" si="16"/>
        <v>6.487407477272412</v>
      </c>
    </row>
    <row r="55" spans="2:171" ht="18" customHeight="1" x14ac:dyDescent="0.25">
      <c r="B55" s="6"/>
      <c r="AN55" s="9"/>
      <c r="AP55" s="8"/>
      <c r="AR55" s="6"/>
      <c r="CD55" s="9"/>
      <c r="CF55" s="8"/>
      <c r="DW55" s="1">
        <f t="shared" si="14"/>
        <v>10.4</v>
      </c>
      <c r="DX55" s="12" t="str">
        <f t="shared" si="6"/>
        <v>0.0001-2.595835i</v>
      </c>
      <c r="DY55" s="13" t="str">
        <f t="shared" si="17"/>
        <v>0.000000001</v>
      </c>
      <c r="DZ55" s="13" t="str">
        <f t="shared" si="13"/>
        <v>0.010799+11.230621i</v>
      </c>
      <c r="EA55" s="14" t="str">
        <f t="shared" si="7"/>
        <v>10.798674+0.0001i</v>
      </c>
      <c r="EC55" s="1" t="str">
        <f t="shared" si="8"/>
        <v>0.010799+11.230621i</v>
      </c>
      <c r="ED55" s="1" t="str">
        <f t="shared" si="9"/>
        <v>0.115492+121.275816i</v>
      </c>
      <c r="EE55" s="1" t="str">
        <f t="shared" si="10"/>
        <v>10.809473+11.230721i</v>
      </c>
      <c r="EF55" s="1" t="str">
        <f t="shared" si="11"/>
        <v>5.610742+5.390007i</v>
      </c>
      <c r="EG55" s="1" t="str">
        <f t="shared" si="12"/>
        <v>5.610842+2.794172i</v>
      </c>
      <c r="FN55" s="1">
        <f t="shared" si="15"/>
        <v>11</v>
      </c>
      <c r="FO55" s="1">
        <f t="shared" si="16"/>
        <v>6.5919212918863801</v>
      </c>
    </row>
    <row r="56" spans="2:171" ht="18" customHeight="1" x14ac:dyDescent="0.3">
      <c r="B56" s="6"/>
      <c r="C56" s="81" t="s">
        <v>97</v>
      </c>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
      <c r="AR56" s="6"/>
      <c r="AS56" s="30" t="s">
        <v>98</v>
      </c>
      <c r="CF56" s="8"/>
      <c r="CL56" s="135" t="s">
        <v>99</v>
      </c>
      <c r="CM56" s="135"/>
      <c r="CN56" s="135"/>
      <c r="CO56" s="135" t="s">
        <v>99</v>
      </c>
      <c r="CP56" s="135"/>
      <c r="CQ56" s="135"/>
      <c r="CR56" s="135" t="s">
        <v>100</v>
      </c>
      <c r="CS56" s="135"/>
      <c r="CT56" s="135"/>
      <c r="CU56" s="135"/>
      <c r="CV56" s="135" t="s">
        <v>101</v>
      </c>
      <c r="CW56" s="135"/>
      <c r="CX56" s="135"/>
      <c r="DW56" s="1">
        <f t="shared" si="14"/>
        <v>10.6</v>
      </c>
      <c r="DX56" s="12" t="str">
        <f t="shared" si="6"/>
        <v>0.0001-2.546857i</v>
      </c>
      <c r="DY56" s="13" t="str">
        <f t="shared" si="17"/>
        <v>0.000000001</v>
      </c>
      <c r="DZ56" s="13" t="str">
        <f t="shared" si="13"/>
        <v>0.010799+11.446594i</v>
      </c>
      <c r="EA56" s="14" t="str">
        <f t="shared" si="7"/>
        <v>10.798674+0.0001i</v>
      </c>
      <c r="EC56" s="1" t="str">
        <f t="shared" si="8"/>
        <v>0.010799+11.446594i</v>
      </c>
      <c r="ED56" s="1" t="str">
        <f t="shared" si="9"/>
        <v>0.11547+123.608038i</v>
      </c>
      <c r="EE56" s="1" t="str">
        <f t="shared" si="10"/>
        <v>10.809473+11.446694i</v>
      </c>
      <c r="EF56" s="1" t="str">
        <f t="shared" si="11"/>
        <v>5.713249+5.385113i</v>
      </c>
      <c r="EG56" s="1" t="str">
        <f t="shared" si="12"/>
        <v>5.713349+2.838256i</v>
      </c>
      <c r="FN56" s="1">
        <f t="shared" si="15"/>
        <v>11.2</v>
      </c>
      <c r="FO56" s="1">
        <f t="shared" si="16"/>
        <v>6.6931544441922153</v>
      </c>
    </row>
    <row r="57" spans="2:171" ht="18" customHeight="1" x14ac:dyDescent="0.25">
      <c r="B57" s="6"/>
      <c r="C57" s="18"/>
      <c r="D57" s="18"/>
      <c r="E57" s="18"/>
      <c r="F57" s="18"/>
      <c r="G57" s="18"/>
      <c r="H57" s="18"/>
      <c r="I57" s="18"/>
      <c r="J57" s="18"/>
      <c r="K57" s="18"/>
      <c r="L57" s="18"/>
      <c r="M57" s="18"/>
      <c r="N57" s="18"/>
      <c r="O57" s="18"/>
      <c r="P57" s="18"/>
      <c r="Q57" s="18"/>
      <c r="R57" s="18"/>
      <c r="S57" s="18"/>
      <c r="T57" s="18"/>
      <c r="U57" s="86" t="s">
        <v>102</v>
      </c>
      <c r="V57" s="86"/>
      <c r="W57" s="86"/>
      <c r="X57" s="86"/>
      <c r="Y57" s="86"/>
      <c r="AC57" s="18"/>
      <c r="AD57" s="18"/>
      <c r="AE57" s="18"/>
      <c r="AF57" s="18"/>
      <c r="AG57" s="18"/>
      <c r="AH57" s="18"/>
      <c r="AI57" s="18"/>
      <c r="AJ57" s="18"/>
      <c r="AK57" s="18"/>
      <c r="AL57" s="18"/>
      <c r="AM57" s="18"/>
      <c r="AN57" s="18"/>
      <c r="AP57" s="8"/>
      <c r="AR57" s="6"/>
      <c r="CF57" s="8"/>
      <c r="CL57" s="135"/>
      <c r="CM57" s="135"/>
      <c r="CN57" s="135"/>
      <c r="CO57" s="135"/>
      <c r="CP57" s="135"/>
      <c r="CQ57" s="135"/>
      <c r="CR57" s="135"/>
      <c r="CS57" s="135"/>
      <c r="CT57" s="135"/>
      <c r="CU57" s="135"/>
      <c r="CV57" s="135"/>
      <c r="CW57" s="135"/>
      <c r="CX57" s="135"/>
      <c r="DW57" s="1">
        <f t="shared" si="14"/>
        <v>10.8</v>
      </c>
      <c r="DX57" s="12" t="str">
        <f t="shared" si="6"/>
        <v>0.0001-2.499693i</v>
      </c>
      <c r="DY57" s="13" t="str">
        <f t="shared" si="17"/>
        <v>0.000000001</v>
      </c>
      <c r="DZ57" s="13" t="str">
        <f t="shared" si="13"/>
        <v>0.010799+11.662568i</v>
      </c>
      <c r="EA57" s="14" t="str">
        <f t="shared" si="7"/>
        <v>10.798674+0.0001i</v>
      </c>
      <c r="EC57" s="1" t="str">
        <f t="shared" si="8"/>
        <v>0.010799+11.662568i</v>
      </c>
      <c r="ED57" s="1" t="str">
        <f t="shared" si="9"/>
        <v>0.115449+125.940271i</v>
      </c>
      <c r="EE57" s="1" t="str">
        <f t="shared" si="10"/>
        <v>10.809473+11.662668i</v>
      </c>
      <c r="EF57" s="1" t="str">
        <f t="shared" si="11"/>
        <v>5.813623+5.378422i</v>
      </c>
      <c r="EG57" s="1" t="str">
        <f t="shared" si="12"/>
        <v>5.813723+2.878729i</v>
      </c>
      <c r="FN57" s="1">
        <f t="shared" si="15"/>
        <v>11.4</v>
      </c>
      <c r="FO57" s="1">
        <f t="shared" si="16"/>
        <v>6.7912192426880162</v>
      </c>
    </row>
    <row r="58" spans="2:171" ht="18" customHeight="1" x14ac:dyDescent="0.3">
      <c r="B58" s="6"/>
      <c r="C58" s="18"/>
      <c r="D58" s="18"/>
      <c r="E58" s="18"/>
      <c r="F58" s="18"/>
      <c r="G58" s="18"/>
      <c r="H58" s="18"/>
      <c r="I58" s="86" t="s">
        <v>103</v>
      </c>
      <c r="J58" s="86"/>
      <c r="K58" s="86"/>
      <c r="L58" s="86"/>
      <c r="M58" s="18"/>
      <c r="O58" s="86" t="s">
        <v>104</v>
      </c>
      <c r="P58" s="86"/>
      <c r="Q58" s="86"/>
      <c r="R58" s="86"/>
      <c r="U58" s="86"/>
      <c r="V58" s="86"/>
      <c r="W58" s="86"/>
      <c r="X58" s="86"/>
      <c r="Y58" s="86"/>
      <c r="AC58" s="18"/>
      <c r="AD58" s="18"/>
      <c r="AE58" s="18"/>
      <c r="AF58" s="18"/>
      <c r="AG58" s="18"/>
      <c r="AH58" s="18"/>
      <c r="AI58" s="18"/>
      <c r="AJ58" s="18"/>
      <c r="AK58" s="18"/>
      <c r="AL58" s="18"/>
      <c r="AM58" s="18"/>
      <c r="AN58" s="18"/>
      <c r="AP58" s="8"/>
      <c r="AR58" s="6"/>
      <c r="AS58" s="136" t="str">
        <f>S17&amp;"kV, "&amp;S20&amp;"Hz High-Pass Filter, Wye-Connected"</f>
        <v>12.47kV, 60Hz High-Pass Filter, Wye-Connected</v>
      </c>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8"/>
      <c r="CL58" s="135"/>
      <c r="CM58" s="135"/>
      <c r="CN58" s="135"/>
      <c r="CO58" s="135"/>
      <c r="CP58" s="135"/>
      <c r="CQ58" s="135"/>
      <c r="CR58" s="135"/>
      <c r="CS58" s="135"/>
      <c r="CT58" s="135"/>
      <c r="CU58" s="135"/>
      <c r="CV58" s="135"/>
      <c r="CW58" s="135"/>
      <c r="CX58" s="135"/>
      <c r="DW58" s="1">
        <f t="shared" si="14"/>
        <v>11</v>
      </c>
      <c r="DX58" s="12" t="str">
        <f t="shared" si="6"/>
        <v>0.0001-2.454244i</v>
      </c>
      <c r="DY58" s="13" t="str">
        <f t="shared" si="17"/>
        <v>0.000000001</v>
      </c>
      <c r="DZ58" s="13" t="str">
        <f t="shared" si="13"/>
        <v>0.010799+11.878541i</v>
      </c>
      <c r="EA58" s="14" t="str">
        <f t="shared" si="7"/>
        <v>10.798674+0.0001i</v>
      </c>
      <c r="EC58" s="1" t="str">
        <f t="shared" si="8"/>
        <v>0.010799+11.878541i</v>
      </c>
      <c r="ED58" s="1" t="str">
        <f t="shared" si="9"/>
        <v>0.115427+128.272493i</v>
      </c>
      <c r="EE58" s="1" t="str">
        <f t="shared" si="10"/>
        <v>10.809473+11.878641i</v>
      </c>
      <c r="EF58" s="1" t="str">
        <f t="shared" si="11"/>
        <v>5.91188+5.370049i</v>
      </c>
      <c r="EG58" s="1" t="str">
        <f t="shared" si="12"/>
        <v>5.91198+2.915805i</v>
      </c>
      <c r="FN58" s="1">
        <f t="shared" si="15"/>
        <v>11.6</v>
      </c>
      <c r="FO58" s="1">
        <f t="shared" si="16"/>
        <v>6.8862242865961028</v>
      </c>
    </row>
    <row r="59" spans="2:171" ht="18" customHeight="1" x14ac:dyDescent="0.3">
      <c r="B59" s="6"/>
      <c r="C59" s="86" t="s">
        <v>105</v>
      </c>
      <c r="D59" s="86"/>
      <c r="E59" s="86"/>
      <c r="F59" s="86"/>
      <c r="G59" s="86"/>
      <c r="H59" s="17"/>
      <c r="I59" s="86"/>
      <c r="J59" s="86"/>
      <c r="K59" s="86"/>
      <c r="L59" s="86"/>
      <c r="M59" s="49"/>
      <c r="O59" s="86"/>
      <c r="P59" s="86"/>
      <c r="Q59" s="86"/>
      <c r="R59" s="86"/>
      <c r="U59" s="86"/>
      <c r="V59" s="86"/>
      <c r="W59" s="86"/>
      <c r="X59" s="86"/>
      <c r="Y59" s="86"/>
      <c r="AB59" s="86" t="s">
        <v>93</v>
      </c>
      <c r="AC59" s="86"/>
      <c r="AD59" s="86"/>
      <c r="AE59" s="86"/>
      <c r="AF59" s="86"/>
      <c r="AI59" s="86" t="s">
        <v>106</v>
      </c>
      <c r="AJ59" s="86"/>
      <c r="AK59" s="86"/>
      <c r="AL59" s="86"/>
      <c r="AM59" s="86"/>
      <c r="AP59" s="8"/>
      <c r="AR59" s="6"/>
      <c r="AS59" s="97" t="str">
        <f>FIXED(S18,0)&amp;" Kvar 3-Phase, "&amp;FIXED(S19,1)&amp;" Tuning"</f>
        <v>6,000 Kvar 3-Phase, 5.0 Tuning</v>
      </c>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c r="CC59" s="97"/>
      <c r="CD59" s="97"/>
      <c r="CE59" s="97"/>
      <c r="CF59" s="8"/>
      <c r="CL59" s="135"/>
      <c r="CM59" s="135"/>
      <c r="CN59" s="135"/>
      <c r="CO59" s="135"/>
      <c r="CP59" s="135"/>
      <c r="CQ59" s="135"/>
      <c r="CR59" s="135"/>
      <c r="CS59" s="135"/>
      <c r="CT59" s="135"/>
      <c r="CU59" s="135"/>
      <c r="CV59" s="135"/>
      <c r="CW59" s="135"/>
      <c r="CX59" s="135"/>
      <c r="DW59" s="1">
        <f t="shared" si="14"/>
        <v>11.2</v>
      </c>
      <c r="DX59" s="12" t="str">
        <f t="shared" si="6"/>
        <v>0.0001-2.410418i</v>
      </c>
      <c r="DY59" s="13" t="str">
        <f t="shared" si="17"/>
        <v>0.000000001</v>
      </c>
      <c r="DZ59" s="13" t="str">
        <f t="shared" si="13"/>
        <v>0.010799+12.094514i</v>
      </c>
      <c r="EA59" s="14" t="str">
        <f t="shared" si="7"/>
        <v>10.798674+0.0001i</v>
      </c>
      <c r="EC59" s="1" t="str">
        <f t="shared" si="8"/>
        <v>0.010799+12.094514i</v>
      </c>
      <c r="ED59" s="1" t="str">
        <f t="shared" si="9"/>
        <v>0.115405+130.604715i</v>
      </c>
      <c r="EE59" s="1" t="str">
        <f t="shared" si="10"/>
        <v>10.809473+12.094614i</v>
      </c>
      <c r="EF59" s="1" t="str">
        <f t="shared" si="11"/>
        <v>6.008037+5.360097i</v>
      </c>
      <c r="EG59" s="1" t="str">
        <f t="shared" si="12"/>
        <v>6.008137+2.949679i</v>
      </c>
      <c r="FN59" s="1">
        <f t="shared" si="15"/>
        <v>11.8</v>
      </c>
      <c r="FO59" s="1">
        <f t="shared" si="16"/>
        <v>6.9782738317844766</v>
      </c>
    </row>
    <row r="60" spans="2:171" ht="18" customHeight="1" x14ac:dyDescent="0.25">
      <c r="B60" s="6"/>
      <c r="C60" s="87"/>
      <c r="D60" s="87"/>
      <c r="E60" s="87"/>
      <c r="F60" s="87"/>
      <c r="G60" s="87"/>
      <c r="H60" s="17"/>
      <c r="I60" s="87"/>
      <c r="J60" s="87"/>
      <c r="K60" s="87"/>
      <c r="L60" s="87"/>
      <c r="M60" s="49"/>
      <c r="O60" s="87"/>
      <c r="P60" s="87"/>
      <c r="Q60" s="87"/>
      <c r="R60" s="87"/>
      <c r="U60" s="87"/>
      <c r="V60" s="87"/>
      <c r="W60" s="87"/>
      <c r="X60" s="87"/>
      <c r="Y60" s="87"/>
      <c r="AB60" s="87"/>
      <c r="AC60" s="87"/>
      <c r="AD60" s="87"/>
      <c r="AE60" s="87"/>
      <c r="AF60" s="87"/>
      <c r="AI60" s="87"/>
      <c r="AJ60" s="87"/>
      <c r="AK60" s="87"/>
      <c r="AL60" s="87"/>
      <c r="AM60" s="87"/>
      <c r="AP60" s="8"/>
      <c r="AR60" s="6"/>
      <c r="CF60" s="8"/>
      <c r="CL60" s="107">
        <f t="shared" ref="CL60:CL75" si="18">C61</f>
        <v>1</v>
      </c>
      <c r="CM60" s="107"/>
      <c r="CN60" s="107"/>
      <c r="CO60" s="107">
        <f t="shared" ref="CO60:CO75" si="19">I61</f>
        <v>278.12414534767834</v>
      </c>
      <c r="CP60" s="107"/>
      <c r="CQ60" s="107"/>
      <c r="CR60" s="107">
        <f t="shared" ref="CR60:CR75" si="20">U61</f>
        <v>276.74386811630848</v>
      </c>
      <c r="CS60" s="107"/>
      <c r="CT60" s="107"/>
      <c r="CU60" s="107"/>
      <c r="CV60" s="107">
        <f t="shared" ref="CV60:CV75" si="21">H114</f>
        <v>415.11580217446271</v>
      </c>
      <c r="CW60" s="107"/>
      <c r="CX60" s="107"/>
      <c r="DW60" s="1">
        <f t="shared" si="14"/>
        <v>11.4</v>
      </c>
      <c r="DX60" s="12" t="str">
        <f t="shared" si="6"/>
        <v>0.0001-2.36813i</v>
      </c>
      <c r="DY60" s="13" t="str">
        <f t="shared" si="17"/>
        <v>0.000000001</v>
      </c>
      <c r="DZ60" s="13" t="str">
        <f t="shared" si="13"/>
        <v>0.010799+12.310488i</v>
      </c>
      <c r="EA60" s="14" t="str">
        <f t="shared" si="7"/>
        <v>10.798674+0.0001i</v>
      </c>
      <c r="EC60" s="1" t="str">
        <f t="shared" si="8"/>
        <v>0.010799+12.310488i</v>
      </c>
      <c r="ED60" s="1" t="str">
        <f t="shared" si="9"/>
        <v>0.115384+132.936948i</v>
      </c>
      <c r="EE60" s="1" t="str">
        <f t="shared" si="10"/>
        <v>10.809473+12.310588i</v>
      </c>
      <c r="EF60" s="1" t="str">
        <f t="shared" si="11"/>
        <v>6.102116+5.34867i</v>
      </c>
      <c r="EG60" s="1" t="str">
        <f t="shared" si="12"/>
        <v>6.102216+2.98054i</v>
      </c>
      <c r="FN60" s="1">
        <f t="shared" si="15"/>
        <v>12</v>
      </c>
      <c r="FO60" s="1">
        <f t="shared" si="16"/>
        <v>7.0674702419833366</v>
      </c>
    </row>
    <row r="61" spans="2:171" ht="18" customHeight="1" x14ac:dyDescent="0.25">
      <c r="B61" s="6"/>
      <c r="C61" s="130">
        <f>J24</f>
        <v>1</v>
      </c>
      <c r="D61" s="130"/>
      <c r="E61" s="130"/>
      <c r="F61" s="130"/>
      <c r="G61" s="130"/>
      <c r="H61" s="24"/>
      <c r="I61" s="131">
        <f>J25</f>
        <v>278.12414534767834</v>
      </c>
      <c r="J61" s="131"/>
      <c r="K61" s="131"/>
      <c r="L61" s="131"/>
      <c r="M61" s="50"/>
      <c r="O61" s="132">
        <f>($AJ$30/C61)*J25</f>
        <v>7508.429672447015</v>
      </c>
      <c r="P61" s="132"/>
      <c r="Q61" s="132"/>
      <c r="R61" s="132"/>
      <c r="U61" s="132">
        <f>EA277</f>
        <v>276.74386811630848</v>
      </c>
      <c r="V61" s="132"/>
      <c r="W61" s="132"/>
      <c r="X61" s="132"/>
      <c r="Y61" s="132"/>
      <c r="AB61" s="77">
        <f>EA278</f>
        <v>27.67438681163085</v>
      </c>
      <c r="AC61" s="77"/>
      <c r="AD61" s="77"/>
      <c r="AE61" s="77"/>
      <c r="AF61" s="77"/>
      <c r="AI61" s="133">
        <f>(VLOOKUP(J24+0.1,'HP Filter Design'!$FN$5:$FO$250,2)*J25)/((($S$17*1000)/1.73205))</f>
        <v>1.0016900095976202</v>
      </c>
      <c r="AJ61" s="133"/>
      <c r="AK61" s="133"/>
      <c r="AL61" s="133"/>
      <c r="AM61" s="133"/>
      <c r="AP61" s="8"/>
      <c r="AR61" s="6"/>
      <c r="BK61" s="24" t="str">
        <f>"Fundamental amps "&amp;ROUND(J25,1)&amp;" amps/phase"</f>
        <v>Fundamental amps 278.1 amps/phase</v>
      </c>
      <c r="CC61" s="17"/>
      <c r="CF61" s="8"/>
      <c r="CL61" s="107">
        <f t="shared" si="18"/>
        <v>2</v>
      </c>
      <c r="CM61" s="107"/>
      <c r="CN61" s="107"/>
      <c r="CO61" s="107">
        <f t="shared" si="19"/>
        <v>0</v>
      </c>
      <c r="CP61" s="107"/>
      <c r="CQ61" s="107"/>
      <c r="CR61" s="107">
        <f t="shared" si="20"/>
        <v>0</v>
      </c>
      <c r="CS61" s="107"/>
      <c r="CT61" s="107"/>
      <c r="CU61" s="107"/>
      <c r="CV61" s="107">
        <f t="shared" si="21"/>
        <v>0</v>
      </c>
      <c r="CW61" s="107"/>
      <c r="CX61" s="107"/>
      <c r="DW61" s="1">
        <f t="shared" si="14"/>
        <v>11.6</v>
      </c>
      <c r="DX61" s="12" t="str">
        <f t="shared" si="6"/>
        <v>0.0001-2.3273i</v>
      </c>
      <c r="DY61" s="13" t="str">
        <f t="shared" si="17"/>
        <v>0.000000001</v>
      </c>
      <c r="DZ61" s="13" t="str">
        <f t="shared" si="13"/>
        <v>0.010799+12.526461i</v>
      </c>
      <c r="EA61" s="14" t="str">
        <f t="shared" si="7"/>
        <v>10.798674+0.0001i</v>
      </c>
      <c r="EC61" s="1" t="str">
        <f t="shared" si="8"/>
        <v>0.010799+12.526461i</v>
      </c>
      <c r="ED61" s="1" t="str">
        <f t="shared" si="9"/>
        <v>0.115362+135.26917i</v>
      </c>
      <c r="EE61" s="1" t="str">
        <f t="shared" si="10"/>
        <v>10.809473+12.526561i</v>
      </c>
      <c r="EF61" s="1" t="str">
        <f t="shared" si="11"/>
        <v>6.194141+5.335865i</v>
      </c>
      <c r="EG61" s="1" t="str">
        <f t="shared" si="12"/>
        <v>6.194241+3.008565i</v>
      </c>
      <c r="FN61" s="1">
        <f t="shared" si="15"/>
        <v>12.2</v>
      </c>
      <c r="FO61" s="1">
        <f t="shared" si="16"/>
        <v>7.1539148779119532</v>
      </c>
    </row>
    <row r="62" spans="2:171" ht="18" customHeight="1" x14ac:dyDescent="0.25">
      <c r="B62" s="6"/>
      <c r="C62" s="75">
        <f>L24</f>
        <v>2</v>
      </c>
      <c r="D62" s="75"/>
      <c r="E62" s="75"/>
      <c r="F62" s="75"/>
      <c r="G62" s="75"/>
      <c r="H62" s="24"/>
      <c r="I62" s="124">
        <f>L25</f>
        <v>0</v>
      </c>
      <c r="J62" s="124"/>
      <c r="K62" s="124"/>
      <c r="L62" s="124"/>
      <c r="M62" s="50"/>
      <c r="O62" s="125">
        <f t="shared" ref="O62:O76" si="22">($AJ$30/C62)*I62</f>
        <v>0</v>
      </c>
      <c r="P62" s="125"/>
      <c r="Q62" s="125"/>
      <c r="R62" s="125"/>
      <c r="U62" s="125">
        <f>EB277</f>
        <v>0</v>
      </c>
      <c r="V62" s="125"/>
      <c r="W62" s="125"/>
      <c r="X62" s="125"/>
      <c r="Y62" s="125"/>
      <c r="AB62" s="78">
        <f>EB278</f>
        <v>0</v>
      </c>
      <c r="AC62" s="78"/>
      <c r="AD62" s="78"/>
      <c r="AE62" s="78"/>
      <c r="AF62" s="78"/>
      <c r="AI62" s="126">
        <f>(VLOOKUP(L24+0.1,'HP Filter Design'!$FN$5:$FO$250,2)*L25)/((($S$17*1000)/1.73205))</f>
        <v>0</v>
      </c>
      <c r="AJ62" s="126"/>
      <c r="AK62" s="126"/>
      <c r="AL62" s="126"/>
      <c r="AM62" s="126"/>
      <c r="AP62" s="8"/>
      <c r="AR62" s="6"/>
      <c r="BK62" s="38" t="str">
        <f>"RMS Current "&amp;ROUND(ET281,2)&amp;" amps/phase"</f>
        <v>RMS Current 314.89 amps/phase</v>
      </c>
      <c r="CC62" s="17"/>
      <c r="CF62" s="8"/>
      <c r="CL62" s="107">
        <f t="shared" si="18"/>
        <v>3</v>
      </c>
      <c r="CM62" s="107"/>
      <c r="CN62" s="107"/>
      <c r="CO62" s="107">
        <f t="shared" si="19"/>
        <v>0</v>
      </c>
      <c r="CP62" s="107"/>
      <c r="CQ62" s="107"/>
      <c r="CR62" s="107">
        <f t="shared" si="20"/>
        <v>0</v>
      </c>
      <c r="CS62" s="107"/>
      <c r="CT62" s="107"/>
      <c r="CU62" s="107"/>
      <c r="CV62" s="107">
        <f t="shared" si="21"/>
        <v>0</v>
      </c>
      <c r="CW62" s="107"/>
      <c r="CX62" s="107"/>
      <c r="DW62" s="1">
        <f t="shared" si="14"/>
        <v>11.8</v>
      </c>
      <c r="DX62" s="12" t="str">
        <f t="shared" si="6"/>
        <v>0.0001-2.287855i</v>
      </c>
      <c r="DY62" s="13" t="str">
        <f t="shared" si="17"/>
        <v>0.000000001</v>
      </c>
      <c r="DZ62" s="13" t="str">
        <f t="shared" si="13"/>
        <v>0.010799+12.742435i</v>
      </c>
      <c r="EA62" s="14" t="str">
        <f t="shared" si="7"/>
        <v>10.798674+0.0001i</v>
      </c>
      <c r="EC62" s="1" t="str">
        <f t="shared" si="8"/>
        <v>0.010799+12.742435i</v>
      </c>
      <c r="ED62" s="1" t="str">
        <f t="shared" si="9"/>
        <v>0.115341+137.601403i</v>
      </c>
      <c r="EE62" s="1" t="str">
        <f t="shared" si="10"/>
        <v>10.809473+12.742535i</v>
      </c>
      <c r="EF62" s="1" t="str">
        <f t="shared" si="11"/>
        <v>6.284138+5.321773i</v>
      </c>
      <c r="EG62" s="1" t="str">
        <f t="shared" si="12"/>
        <v>6.284238+3.033918i</v>
      </c>
      <c r="FN62" s="1">
        <f t="shared" si="15"/>
        <v>12.4</v>
      </c>
      <c r="FO62" s="1">
        <f t="shared" si="16"/>
        <v>7.2377021461505997</v>
      </c>
    </row>
    <row r="63" spans="2:171" ht="18" customHeight="1" x14ac:dyDescent="0.25">
      <c r="B63" s="6"/>
      <c r="C63" s="75">
        <f>N24</f>
        <v>3</v>
      </c>
      <c r="D63" s="75"/>
      <c r="E63" s="75"/>
      <c r="F63" s="75"/>
      <c r="G63" s="75"/>
      <c r="H63" s="24"/>
      <c r="I63" s="124">
        <f>N25</f>
        <v>0</v>
      </c>
      <c r="J63" s="124"/>
      <c r="K63" s="124"/>
      <c r="L63" s="124"/>
      <c r="M63" s="50"/>
      <c r="O63" s="125">
        <f t="shared" si="22"/>
        <v>0</v>
      </c>
      <c r="P63" s="125"/>
      <c r="Q63" s="125"/>
      <c r="R63" s="125"/>
      <c r="U63" s="125">
        <f>EC277</f>
        <v>0</v>
      </c>
      <c r="V63" s="125"/>
      <c r="W63" s="125"/>
      <c r="X63" s="125"/>
      <c r="Y63" s="125"/>
      <c r="AB63" s="78">
        <f>EC278</f>
        <v>0</v>
      </c>
      <c r="AC63" s="78"/>
      <c r="AD63" s="78"/>
      <c r="AE63" s="78"/>
      <c r="AF63" s="78"/>
      <c r="AI63" s="126">
        <f>(VLOOKUP(N24+0.1,'HP Filter Design'!$FN$5:$FO$250,2)*N25)/((($S$17*1000)/1.73205))</f>
        <v>0</v>
      </c>
      <c r="AJ63" s="126"/>
      <c r="AK63" s="126"/>
      <c r="AL63" s="126"/>
      <c r="AM63" s="126"/>
      <c r="AP63" s="8"/>
      <c r="AR63" s="6"/>
      <c r="CC63" s="17"/>
      <c r="CF63" s="8"/>
      <c r="CL63" s="107">
        <f t="shared" si="18"/>
        <v>4</v>
      </c>
      <c r="CM63" s="107"/>
      <c r="CN63" s="107"/>
      <c r="CO63" s="107">
        <f t="shared" si="19"/>
        <v>0</v>
      </c>
      <c r="CP63" s="107"/>
      <c r="CQ63" s="107"/>
      <c r="CR63" s="107">
        <f t="shared" si="20"/>
        <v>0</v>
      </c>
      <c r="CS63" s="107"/>
      <c r="CT63" s="107"/>
      <c r="CU63" s="107"/>
      <c r="CV63" s="107">
        <f t="shared" si="21"/>
        <v>0</v>
      </c>
      <c r="CW63" s="107"/>
      <c r="CX63" s="107"/>
      <c r="DW63" s="1">
        <f t="shared" si="14"/>
        <v>12</v>
      </c>
      <c r="DX63" s="12" t="str">
        <f t="shared" si="6"/>
        <v>0.0001-2.249724i</v>
      </c>
      <c r="DY63" s="13" t="str">
        <f t="shared" si="17"/>
        <v>0.000000001</v>
      </c>
      <c r="DZ63" s="13" t="str">
        <f t="shared" si="13"/>
        <v>0.010799+12.958408i</v>
      </c>
      <c r="EA63" s="14" t="str">
        <f t="shared" si="7"/>
        <v>10.798674+0.0001i</v>
      </c>
      <c r="EC63" s="1" t="str">
        <f t="shared" si="8"/>
        <v>0.010799+12.958408i</v>
      </c>
      <c r="ED63" s="1" t="str">
        <f t="shared" si="9"/>
        <v>0.115319+139.933625i</v>
      </c>
      <c r="EE63" s="1" t="str">
        <f t="shared" si="10"/>
        <v>10.809473+12.958508i</v>
      </c>
      <c r="EF63" s="1" t="str">
        <f t="shared" si="11"/>
        <v>6.372134+5.306482i</v>
      </c>
      <c r="EG63" s="1" t="str">
        <f t="shared" si="12"/>
        <v>6.372234+3.056758i</v>
      </c>
      <c r="FN63" s="1">
        <f t="shared" si="15"/>
        <v>12.6</v>
      </c>
      <c r="FO63" s="1">
        <f t="shared" si="16"/>
        <v>7.3189267494588313</v>
      </c>
    </row>
    <row r="64" spans="2:171" ht="18" customHeight="1" x14ac:dyDescent="0.25">
      <c r="B64" s="6"/>
      <c r="C64" s="75">
        <f>P24</f>
        <v>4</v>
      </c>
      <c r="D64" s="75"/>
      <c r="E64" s="75"/>
      <c r="F64" s="75"/>
      <c r="G64" s="75"/>
      <c r="H64" s="24"/>
      <c r="I64" s="124">
        <f>P25</f>
        <v>0</v>
      </c>
      <c r="J64" s="124"/>
      <c r="K64" s="124"/>
      <c r="L64" s="124"/>
      <c r="M64" s="50"/>
      <c r="O64" s="125">
        <f t="shared" si="22"/>
        <v>0</v>
      </c>
      <c r="P64" s="125"/>
      <c r="Q64" s="125"/>
      <c r="R64" s="125"/>
      <c r="U64" s="125">
        <f>ED277</f>
        <v>0</v>
      </c>
      <c r="V64" s="125"/>
      <c r="W64" s="125"/>
      <c r="X64" s="125"/>
      <c r="Y64" s="125"/>
      <c r="AB64" s="78">
        <f>ED278</f>
        <v>0</v>
      </c>
      <c r="AC64" s="78"/>
      <c r="AD64" s="78"/>
      <c r="AE64" s="78"/>
      <c r="AF64" s="78"/>
      <c r="AI64" s="126">
        <f>(VLOOKUP(P24+0.1,'HP Filter Design'!$FN$5:$FO$250,2)*P25)/((($S$17*1000)/1.73205))</f>
        <v>0</v>
      </c>
      <c r="AJ64" s="126"/>
      <c r="AK64" s="126"/>
      <c r="AL64" s="126"/>
      <c r="AM64" s="126"/>
      <c r="AP64" s="8"/>
      <c r="AR64" s="6"/>
      <c r="BK64" s="38" t="str">
        <f>"Reactor: "&amp;ROUND(AJ34,2)&amp;" ohms, "&amp;ROUND(AJ35,2)&amp;" mH"</f>
        <v>Reactor: 1.08 ohms, 2.86 mH</v>
      </c>
      <c r="CC64" s="17"/>
      <c r="CF64" s="8"/>
      <c r="CL64" s="107">
        <f t="shared" si="18"/>
        <v>5</v>
      </c>
      <c r="CM64" s="107"/>
      <c r="CN64" s="107"/>
      <c r="CO64" s="107">
        <f t="shared" si="19"/>
        <v>100</v>
      </c>
      <c r="CP64" s="107"/>
      <c r="CQ64" s="107"/>
      <c r="CR64" s="107">
        <f t="shared" si="20"/>
        <v>89.442719099991592</v>
      </c>
      <c r="CS64" s="107"/>
      <c r="CT64" s="107"/>
      <c r="CU64" s="107"/>
      <c r="CV64" s="107">
        <f t="shared" si="21"/>
        <v>134.1640786499874</v>
      </c>
      <c r="CW64" s="107"/>
      <c r="CX64" s="107"/>
      <c r="DW64" s="1">
        <f t="shared" si="14"/>
        <v>12.2</v>
      </c>
      <c r="DX64" s="12" t="str">
        <f t="shared" si="6"/>
        <v>0.0001-2.212843i</v>
      </c>
      <c r="DY64" s="13" t="str">
        <f t="shared" si="17"/>
        <v>0.000000001</v>
      </c>
      <c r="DZ64" s="13" t="str">
        <f t="shared" si="13"/>
        <v>0.010799+13.174382i</v>
      </c>
      <c r="EA64" s="14" t="str">
        <f t="shared" si="7"/>
        <v>10.798674+0.0001i</v>
      </c>
      <c r="EC64" s="1" t="str">
        <f t="shared" si="8"/>
        <v>0.010799+13.174382i</v>
      </c>
      <c r="ED64" s="1" t="str">
        <f t="shared" si="9"/>
        <v>0.115297+142.265857i</v>
      </c>
      <c r="EE64" s="1" t="str">
        <f t="shared" si="10"/>
        <v>10.809473+13.174482i</v>
      </c>
      <c r="EF64" s="1" t="str">
        <f t="shared" si="11"/>
        <v>6.458161+5.290076i</v>
      </c>
      <c r="EG64" s="1" t="str">
        <f t="shared" si="12"/>
        <v>6.458261+3.077233i</v>
      </c>
      <c r="FN64" s="1">
        <f t="shared" si="15"/>
        <v>12.8</v>
      </c>
      <c r="FO64" s="1">
        <f t="shared" si="16"/>
        <v>7.3976776448334771</v>
      </c>
    </row>
    <row r="65" spans="2:171" ht="18" customHeight="1" x14ac:dyDescent="0.25">
      <c r="B65" s="6"/>
      <c r="C65" s="75">
        <f>R24</f>
        <v>5</v>
      </c>
      <c r="D65" s="75"/>
      <c r="E65" s="75"/>
      <c r="F65" s="75"/>
      <c r="G65" s="75"/>
      <c r="H65" s="24"/>
      <c r="I65" s="124">
        <f>R25</f>
        <v>100</v>
      </c>
      <c r="J65" s="124"/>
      <c r="K65" s="124"/>
      <c r="L65" s="124"/>
      <c r="M65" s="50"/>
      <c r="O65" s="125">
        <f t="shared" si="22"/>
        <v>539.93368055555572</v>
      </c>
      <c r="P65" s="125"/>
      <c r="Q65" s="125"/>
      <c r="R65" s="125"/>
      <c r="U65" s="125">
        <f>EE277</f>
        <v>89.442719099991592</v>
      </c>
      <c r="V65" s="125"/>
      <c r="W65" s="125"/>
      <c r="X65" s="125"/>
      <c r="Y65" s="125"/>
      <c r="AB65" s="78">
        <f>EE278</f>
        <v>44.721359549995796</v>
      </c>
      <c r="AC65" s="78"/>
      <c r="AD65" s="78"/>
      <c r="AE65" s="78"/>
      <c r="AF65" s="78"/>
      <c r="AI65" s="126">
        <f>(VLOOKUP(R24+0.1,'HP Filter Design'!$FN$5:$FO$250,2)*R25)/((($S$17*1000)/1.73205))</f>
        <v>3.3647368948264582E-2</v>
      </c>
      <c r="AJ65" s="126"/>
      <c r="AK65" s="126"/>
      <c r="AL65" s="126"/>
      <c r="AM65" s="126"/>
      <c r="AP65" s="8"/>
      <c r="AR65" s="6"/>
      <c r="BE65" s="29" t="str">
        <f>"High-Pass Resistor: "&amp;ROUND(AJ40,1)&amp;" ohms/Phase"</f>
        <v>High-Pass Resistor: 10.8 ohms/Phase</v>
      </c>
      <c r="BK65" s="1" t="str">
        <f>"I1= "&amp;ROUND(U61,1)&amp;" amps nominal"</f>
        <v>I1= 276.7 amps nominal</v>
      </c>
      <c r="CC65" s="17"/>
      <c r="CF65" s="8"/>
      <c r="CL65" s="107">
        <f t="shared" si="18"/>
        <v>7</v>
      </c>
      <c r="CM65" s="107"/>
      <c r="CN65" s="107"/>
      <c r="CO65" s="107">
        <f t="shared" si="19"/>
        <v>80</v>
      </c>
      <c r="CP65" s="107"/>
      <c r="CQ65" s="107"/>
      <c r="CR65" s="107">
        <f t="shared" si="20"/>
        <v>65.538553641523222</v>
      </c>
      <c r="CS65" s="107"/>
      <c r="CT65" s="107"/>
      <c r="CU65" s="107"/>
      <c r="CV65" s="107">
        <f t="shared" si="21"/>
        <v>98.307830462284841</v>
      </c>
      <c r="CW65" s="107"/>
      <c r="CX65" s="107"/>
      <c r="DW65" s="1">
        <f t="shared" si="14"/>
        <v>12.4</v>
      </c>
      <c r="DX65" s="12" t="str">
        <f t="shared" si="6"/>
        <v>0.0001-2.177152i</v>
      </c>
      <c r="DY65" s="13" t="str">
        <f t="shared" si="17"/>
        <v>0.000000001</v>
      </c>
      <c r="DZ65" s="13" t="str">
        <f t="shared" si="13"/>
        <v>0.010799+13.390355i</v>
      </c>
      <c r="EA65" s="14" t="str">
        <f t="shared" si="7"/>
        <v>10.798674+0.0001i</v>
      </c>
      <c r="EC65" s="1" t="str">
        <f t="shared" si="8"/>
        <v>0.010799+13.390355i</v>
      </c>
      <c r="ED65" s="1" t="str">
        <f t="shared" si="9"/>
        <v>0.115276+144.598079i</v>
      </c>
      <c r="EE65" s="1" t="str">
        <f t="shared" si="10"/>
        <v>10.809473+13.390455i</v>
      </c>
      <c r="EF65" s="1" t="str">
        <f t="shared" si="11"/>
        <v>6.542248+5.272635i</v>
      </c>
      <c r="EG65" s="1" t="str">
        <f t="shared" si="12"/>
        <v>6.542348+3.095483i</v>
      </c>
      <c r="FN65" s="1">
        <f t="shared" si="15"/>
        <v>13</v>
      </c>
      <c r="FO65" s="1">
        <f t="shared" si="16"/>
        <v>7.474043276484422</v>
      </c>
    </row>
    <row r="66" spans="2:171" ht="18" customHeight="1" x14ac:dyDescent="0.25">
      <c r="B66" s="6"/>
      <c r="C66" s="75">
        <f>T24</f>
        <v>7</v>
      </c>
      <c r="D66" s="75"/>
      <c r="E66" s="75"/>
      <c r="F66" s="75"/>
      <c r="G66" s="75"/>
      <c r="H66" s="24"/>
      <c r="I66" s="124">
        <f>T25</f>
        <v>80</v>
      </c>
      <c r="J66" s="124"/>
      <c r="K66" s="124"/>
      <c r="L66" s="124"/>
      <c r="M66" s="50"/>
      <c r="O66" s="125">
        <f t="shared" si="22"/>
        <v>308.53353174603183</v>
      </c>
      <c r="P66" s="125"/>
      <c r="Q66" s="125"/>
      <c r="R66" s="125"/>
      <c r="U66" s="125">
        <f>EF277</f>
        <v>65.538553641523222</v>
      </c>
      <c r="V66" s="125"/>
      <c r="W66" s="125"/>
      <c r="X66" s="125"/>
      <c r="Y66" s="125"/>
      <c r="AB66" s="78">
        <f>EF278</f>
        <v>45.876987549066264</v>
      </c>
      <c r="AC66" s="78"/>
      <c r="AD66" s="78"/>
      <c r="AE66" s="78"/>
      <c r="AF66" s="78"/>
      <c r="AI66" s="126">
        <f>(VLOOKUP(T24+0.1,'HP Filter Design'!$FN$5:$FO$250,2)*T25)/((($S$17*1000)/1.73205))</f>
        <v>4.1714165805292545E-2</v>
      </c>
      <c r="AJ66" s="126"/>
      <c r="AK66" s="126"/>
      <c r="AL66" s="126"/>
      <c r="AM66" s="126"/>
      <c r="AP66" s="8"/>
      <c r="AR66" s="6"/>
      <c r="BE66" s="29" t="str">
        <f>ROUND(AJ41,0)&amp;" KW/Phase  Total"</f>
        <v>88 KW/Phase  Total</v>
      </c>
      <c r="CC66" s="17"/>
      <c r="CF66" s="8"/>
      <c r="CL66" s="107">
        <f t="shared" si="18"/>
        <v>11</v>
      </c>
      <c r="CM66" s="107"/>
      <c r="CN66" s="107"/>
      <c r="CO66" s="107">
        <f t="shared" si="19"/>
        <v>60</v>
      </c>
      <c r="CP66" s="107"/>
      <c r="CQ66" s="107"/>
      <c r="CR66" s="107">
        <f t="shared" si="20"/>
        <v>40.360367639778751</v>
      </c>
      <c r="CS66" s="107"/>
      <c r="CT66" s="107"/>
      <c r="CU66" s="107"/>
      <c r="CV66" s="107">
        <f t="shared" si="21"/>
        <v>60.540551459668123</v>
      </c>
      <c r="CW66" s="107"/>
      <c r="CX66" s="107"/>
      <c r="DW66" s="1">
        <f t="shared" si="14"/>
        <v>12.6</v>
      </c>
      <c r="DX66" s="12" t="str">
        <f t="shared" si="6"/>
        <v>0.0001-2.142594i</v>
      </c>
      <c r="DY66" s="13" t="str">
        <f t="shared" si="17"/>
        <v>0.000000001</v>
      </c>
      <c r="DZ66" s="13" t="str">
        <f t="shared" si="13"/>
        <v>0.010799+13.606329i</v>
      </c>
      <c r="EA66" s="14" t="str">
        <f t="shared" si="7"/>
        <v>10.798674+0.0001i</v>
      </c>
      <c r="EC66" s="1" t="str">
        <f t="shared" si="8"/>
        <v>0.010799+13.606329i</v>
      </c>
      <c r="ED66" s="1" t="str">
        <f t="shared" si="9"/>
        <v>0.115254+146.930312i</v>
      </c>
      <c r="EE66" s="1" t="str">
        <f t="shared" si="10"/>
        <v>10.809473+13.606429i</v>
      </c>
      <c r="EF66" s="1" t="str">
        <f t="shared" si="11"/>
        <v>6.62443+5.254232i</v>
      </c>
      <c r="EG66" s="1" t="str">
        <f t="shared" si="12"/>
        <v>6.62453+3.111638i</v>
      </c>
      <c r="FN66" s="1">
        <f t="shared" si="15"/>
        <v>13.2</v>
      </c>
      <c r="FO66" s="1">
        <f t="shared" si="16"/>
        <v>7.5481067941295708</v>
      </c>
    </row>
    <row r="67" spans="2:171" ht="18" customHeight="1" x14ac:dyDescent="0.25">
      <c r="B67" s="6"/>
      <c r="C67" s="75">
        <f>V24</f>
        <v>11</v>
      </c>
      <c r="D67" s="75"/>
      <c r="E67" s="75"/>
      <c r="F67" s="75"/>
      <c r="G67" s="75"/>
      <c r="H67" s="24"/>
      <c r="I67" s="124">
        <f>V25</f>
        <v>60</v>
      </c>
      <c r="J67" s="124"/>
      <c r="K67" s="124"/>
      <c r="L67" s="124"/>
      <c r="M67" s="50"/>
      <c r="O67" s="125">
        <f t="shared" si="22"/>
        <v>147.25464015151522</v>
      </c>
      <c r="P67" s="125"/>
      <c r="Q67" s="125"/>
      <c r="R67" s="125"/>
      <c r="U67" s="125">
        <f>EG277</f>
        <v>40.360367639778751</v>
      </c>
      <c r="V67" s="125"/>
      <c r="W67" s="125"/>
      <c r="X67" s="125"/>
      <c r="Y67" s="125"/>
      <c r="AB67" s="78">
        <f>EG278</f>
        <v>44.396404403756634</v>
      </c>
      <c r="AC67" s="78"/>
      <c r="AD67" s="78"/>
      <c r="AE67" s="78"/>
      <c r="AF67" s="78"/>
      <c r="AI67" s="126">
        <f>(VLOOKUP(V24+0.1,'HP Filter Design'!$FN$5:$FO$250,2)*V25)/((($S$17*1000)/1.73205))</f>
        <v>5.493602537423483E-2</v>
      </c>
      <c r="AJ67" s="126"/>
      <c r="AK67" s="126"/>
      <c r="AL67" s="126"/>
      <c r="AM67" s="126"/>
      <c r="AP67" s="8"/>
      <c r="AR67" s="6"/>
      <c r="BE67" s="29" t="str">
        <f>ROUND(ET280,1)&amp;" RMS Amps"</f>
        <v>90.2 RMS Amps</v>
      </c>
      <c r="CC67" s="17"/>
      <c r="CF67" s="8"/>
      <c r="CL67" s="107">
        <f t="shared" si="18"/>
        <v>13</v>
      </c>
      <c r="CM67" s="107"/>
      <c r="CN67" s="107"/>
      <c r="CO67" s="107">
        <f t="shared" si="19"/>
        <v>30</v>
      </c>
      <c r="CP67" s="107"/>
      <c r="CQ67" s="107"/>
      <c r="CR67" s="107">
        <f t="shared" si="20"/>
        <v>18.291322825490774</v>
      </c>
      <c r="CS67" s="107"/>
      <c r="CT67" s="107"/>
      <c r="CU67" s="107"/>
      <c r="CV67" s="107">
        <f t="shared" si="21"/>
        <v>27.43698423823616</v>
      </c>
      <c r="CW67" s="107"/>
      <c r="CX67" s="107"/>
      <c r="DW67" s="1">
        <f t="shared" si="14"/>
        <v>12.8</v>
      </c>
      <c r="DX67" s="12" t="str">
        <f t="shared" si="6"/>
        <v>0.0001-2.109116i</v>
      </c>
      <c r="DY67" s="13" t="str">
        <f t="shared" si="17"/>
        <v>0.000000001</v>
      </c>
      <c r="DZ67" s="13" t="str">
        <f t="shared" si="13"/>
        <v>0.010799+13.822302i</v>
      </c>
      <c r="EA67" s="14" t="str">
        <f t="shared" si="7"/>
        <v>10.798674+0.0001i</v>
      </c>
      <c r="EC67" s="1" t="str">
        <f t="shared" si="8"/>
        <v>0.010799+13.822302i</v>
      </c>
      <c r="ED67" s="1" t="str">
        <f t="shared" si="9"/>
        <v>0.115233+149.262534i</v>
      </c>
      <c r="EE67" s="1" t="str">
        <f t="shared" si="10"/>
        <v>10.809473+13.822402i</v>
      </c>
      <c r="EF67" s="1" t="str">
        <f t="shared" si="11"/>
        <v>6.704738+5.234941i</v>
      </c>
      <c r="EG67" s="1" t="str">
        <f t="shared" si="12"/>
        <v>6.704838+3.125825i</v>
      </c>
      <c r="FN67" s="1">
        <f t="shared" si="15"/>
        <v>13.4</v>
      </c>
      <c r="FO67" s="1">
        <f t="shared" si="16"/>
        <v>7.619949557842034</v>
      </c>
    </row>
    <row r="68" spans="2:171" ht="18" customHeight="1" x14ac:dyDescent="0.25">
      <c r="B68" s="6"/>
      <c r="C68" s="75">
        <f>X24</f>
        <v>13</v>
      </c>
      <c r="D68" s="75"/>
      <c r="E68" s="75"/>
      <c r="F68" s="75"/>
      <c r="G68" s="75"/>
      <c r="H68" s="24"/>
      <c r="I68" s="124">
        <f>X25</f>
        <v>30</v>
      </c>
      <c r="J68" s="124"/>
      <c r="K68" s="124"/>
      <c r="L68" s="124"/>
      <c r="M68" s="50"/>
      <c r="O68" s="125">
        <f t="shared" si="22"/>
        <v>62.300040064102582</v>
      </c>
      <c r="P68" s="125"/>
      <c r="Q68" s="125"/>
      <c r="R68" s="125"/>
      <c r="U68" s="125">
        <f>EH277</f>
        <v>18.291322825490774</v>
      </c>
      <c r="V68" s="125"/>
      <c r="W68" s="125"/>
      <c r="X68" s="125"/>
      <c r="Y68" s="125"/>
      <c r="AB68" s="78">
        <f>EH278</f>
        <v>23.77871967313801</v>
      </c>
      <c r="AC68" s="78"/>
      <c r="AD68" s="78"/>
      <c r="AE68" s="78"/>
      <c r="AF68" s="78"/>
      <c r="AI68" s="126">
        <f>(VLOOKUP(X24+0.1,'HP Filter Design'!$FN$5:$FO$250,2)*X25)/((($S$17*1000)/1.73205))</f>
        <v>3.1143744964799144E-2</v>
      </c>
      <c r="AJ68" s="126"/>
      <c r="AK68" s="126"/>
      <c r="AL68" s="126"/>
      <c r="AM68" s="126"/>
      <c r="AP68" s="8"/>
      <c r="AR68" s="6"/>
      <c r="BK68" s="51"/>
      <c r="CC68" s="17"/>
      <c r="CF68" s="8"/>
      <c r="CL68" s="107">
        <f t="shared" si="18"/>
        <v>17</v>
      </c>
      <c r="CM68" s="107"/>
      <c r="CN68" s="107"/>
      <c r="CO68" s="107">
        <f t="shared" si="19"/>
        <v>20</v>
      </c>
      <c r="CP68" s="107"/>
      <c r="CQ68" s="107"/>
      <c r="CR68" s="107">
        <f t="shared" si="20"/>
        <v>10.140402531267876</v>
      </c>
      <c r="CS68" s="107"/>
      <c r="CT68" s="107"/>
      <c r="CU68" s="107"/>
      <c r="CV68" s="107">
        <f t="shared" si="21"/>
        <v>15.210603796901815</v>
      </c>
      <c r="CW68" s="107"/>
      <c r="CX68" s="107"/>
      <c r="DW68" s="1">
        <f t="shared" si="14"/>
        <v>13</v>
      </c>
      <c r="DX68" s="12" t="str">
        <f t="shared" si="6"/>
        <v>0.0001-2.076668i</v>
      </c>
      <c r="DY68" s="13" t="str">
        <f t="shared" si="17"/>
        <v>0.000000001</v>
      </c>
      <c r="DZ68" s="13" t="str">
        <f t="shared" si="13"/>
        <v>0.010799+14.038276i</v>
      </c>
      <c r="EA68" s="14" t="str">
        <f t="shared" si="7"/>
        <v>10.798674+0.0001i</v>
      </c>
      <c r="EC68" s="1" t="str">
        <f t="shared" si="8"/>
        <v>0.010799+14.038276i</v>
      </c>
      <c r="ED68" s="1" t="str">
        <f t="shared" si="9"/>
        <v>0.115211+151.594767i</v>
      </c>
      <c r="EE68" s="1" t="str">
        <f t="shared" si="10"/>
        <v>10.809473+14.038376i</v>
      </c>
      <c r="EF68" s="1" t="str">
        <f t="shared" si="11"/>
        <v>6.783209+5.214827i</v>
      </c>
      <c r="EG68" s="1" t="str">
        <f t="shared" si="12"/>
        <v>6.783309+3.138159i</v>
      </c>
      <c r="FN68" s="1">
        <f t="shared" si="15"/>
        <v>13.6</v>
      </c>
      <c r="FO68" s="1">
        <f t="shared" si="16"/>
        <v>7.6896499245622358</v>
      </c>
    </row>
    <row r="69" spans="2:171" ht="18" customHeight="1" x14ac:dyDescent="0.25">
      <c r="B69" s="6"/>
      <c r="C69" s="75">
        <f>Z24</f>
        <v>17</v>
      </c>
      <c r="D69" s="75"/>
      <c r="E69" s="75"/>
      <c r="F69" s="75"/>
      <c r="G69" s="75"/>
      <c r="H69" s="24"/>
      <c r="I69" s="124">
        <f>Z25</f>
        <v>20</v>
      </c>
      <c r="J69" s="124"/>
      <c r="K69" s="124"/>
      <c r="L69" s="124"/>
      <c r="M69" s="50"/>
      <c r="O69" s="125">
        <f t="shared" si="22"/>
        <v>31.760804738562101</v>
      </c>
      <c r="P69" s="125"/>
      <c r="Q69" s="125"/>
      <c r="R69" s="125"/>
      <c r="U69" s="125">
        <f>EI277</f>
        <v>10.140402531267876</v>
      </c>
      <c r="V69" s="125"/>
      <c r="W69" s="125"/>
      <c r="X69" s="125"/>
      <c r="Y69" s="125"/>
      <c r="AB69" s="78">
        <f>EI278</f>
        <v>17.238684303155392</v>
      </c>
      <c r="AC69" s="78"/>
      <c r="AD69" s="78"/>
      <c r="AE69" s="78"/>
      <c r="AF69" s="78"/>
      <c r="AI69" s="126">
        <f>(VLOOKUP(Z24+0.1,'HP Filter Design'!$FN$5:$FO$250,2)*Z25)/((($S$17*1000)/1.73205))</f>
        <v>2.391801129703966E-2</v>
      </c>
      <c r="AJ69" s="126"/>
      <c r="AK69" s="126"/>
      <c r="AL69" s="126"/>
      <c r="AM69" s="126"/>
      <c r="AP69" s="8"/>
      <c r="AR69" s="6"/>
      <c r="BK69" s="38"/>
      <c r="CC69" s="17"/>
      <c r="CF69" s="8"/>
      <c r="CL69" s="107">
        <f t="shared" si="18"/>
        <v>19</v>
      </c>
      <c r="CM69" s="107"/>
      <c r="CN69" s="107"/>
      <c r="CO69" s="107">
        <f t="shared" si="19"/>
        <v>10</v>
      </c>
      <c r="CP69" s="107"/>
      <c r="CQ69" s="107"/>
      <c r="CR69" s="107">
        <f t="shared" si="20"/>
        <v>4.6574643283262231</v>
      </c>
      <c r="CS69" s="107"/>
      <c r="CT69" s="107"/>
      <c r="CU69" s="107"/>
      <c r="CV69" s="107">
        <f t="shared" si="21"/>
        <v>6.9861964924893343</v>
      </c>
      <c r="CW69" s="107"/>
      <c r="CX69" s="107"/>
      <c r="DW69" s="1">
        <f t="shared" si="14"/>
        <v>13.2</v>
      </c>
      <c r="DX69" s="12" t="str">
        <f t="shared" si="6"/>
        <v>0.0001-2.045203i</v>
      </c>
      <c r="DY69" s="13" t="str">
        <f t="shared" si="17"/>
        <v>0.000000001</v>
      </c>
      <c r="DZ69" s="13" t="str">
        <f t="shared" si="13"/>
        <v>0.010799+14.254249i</v>
      </c>
      <c r="EA69" s="14" t="str">
        <f t="shared" si="7"/>
        <v>10.798674+0.0001i</v>
      </c>
      <c r="EC69" s="1" t="str">
        <f t="shared" si="8"/>
        <v>0.010799+14.254249i</v>
      </c>
      <c r="ED69" s="1" t="str">
        <f t="shared" si="9"/>
        <v>0.115189+153.926989i</v>
      </c>
      <c r="EE69" s="1" t="str">
        <f t="shared" si="10"/>
        <v>10.809473+14.254349i</v>
      </c>
      <c r="EF69" s="1" t="str">
        <f t="shared" si="11"/>
        <v>6.859876+5.193956i</v>
      </c>
      <c r="EG69" s="1" t="str">
        <f t="shared" si="12"/>
        <v>6.859976+3.148753i</v>
      </c>
      <c r="FN69" s="1">
        <f t="shared" si="15"/>
        <v>13.8</v>
      </c>
      <c r="FO69" s="1">
        <f t="shared" si="16"/>
        <v>7.7572822783792654</v>
      </c>
    </row>
    <row r="70" spans="2:171" ht="18" customHeight="1" x14ac:dyDescent="0.25">
      <c r="B70" s="6"/>
      <c r="C70" s="75">
        <f>AB24</f>
        <v>19</v>
      </c>
      <c r="D70" s="75"/>
      <c r="E70" s="75"/>
      <c r="F70" s="75"/>
      <c r="G70" s="75"/>
      <c r="H70" s="24"/>
      <c r="I70" s="52">
        <f>AB25</f>
        <v>10</v>
      </c>
      <c r="J70" s="52"/>
      <c r="K70" s="52"/>
      <c r="L70" s="52"/>
      <c r="M70" s="50"/>
      <c r="O70" s="125">
        <f t="shared" si="22"/>
        <v>14.208781067251465</v>
      </c>
      <c r="P70" s="125"/>
      <c r="Q70" s="125"/>
      <c r="R70" s="125"/>
      <c r="U70" s="125">
        <f>EJ277</f>
        <v>4.6574643283262231</v>
      </c>
      <c r="V70" s="125"/>
      <c r="W70" s="125"/>
      <c r="X70" s="125"/>
      <c r="Y70" s="125"/>
      <c r="AB70" s="78">
        <f>EJ278</f>
        <v>8.8491822238198257</v>
      </c>
      <c r="AC70" s="78"/>
      <c r="AD70" s="78"/>
      <c r="AE70" s="78"/>
      <c r="AF70" s="78"/>
      <c r="AI70" s="126">
        <f>(VLOOKUP(AB24+0.1,'HP Filter Design'!$FN$5:$FO$250,2)*AB25)/((($S$17*1000)/1.73205))</f>
        <v>1.2474038961348325E-2</v>
      </c>
      <c r="AJ70" s="126"/>
      <c r="AK70" s="126"/>
      <c r="AL70" s="126"/>
      <c r="AM70" s="126"/>
      <c r="AP70" s="8"/>
      <c r="AR70" s="6"/>
      <c r="BK70" s="1" t="str">
        <f>"Capacitor Fuse: "&amp;ROUND(BJ19,0)&amp;" (Minimum Amps)"</f>
        <v>Capacitor Fuse: 100 (Minimum Amps)</v>
      </c>
      <c r="CC70" s="17"/>
      <c r="CF70" s="8"/>
      <c r="CL70" s="107">
        <f t="shared" si="18"/>
        <v>23</v>
      </c>
      <c r="CM70" s="107"/>
      <c r="CN70" s="107"/>
      <c r="CO70" s="107">
        <f t="shared" si="19"/>
        <v>10</v>
      </c>
      <c r="CP70" s="107"/>
      <c r="CQ70" s="107"/>
      <c r="CR70" s="107">
        <f t="shared" si="20"/>
        <v>3.9872611141445002</v>
      </c>
      <c r="CS70" s="107"/>
      <c r="CT70" s="107"/>
      <c r="CU70" s="107"/>
      <c r="CV70" s="107">
        <f t="shared" si="21"/>
        <v>5.9808916712167504</v>
      </c>
      <c r="CW70" s="107"/>
      <c r="CX70" s="107"/>
      <c r="DW70" s="1">
        <f t="shared" si="14"/>
        <v>13.4</v>
      </c>
      <c r="DX70" s="12" t="str">
        <f t="shared" ref="DX70:DX133" si="23">COMPLEX(ROUND(0.0001,6),ROUND(-$AJ$30/DW70,6))</f>
        <v>0.0001-2.014678i</v>
      </c>
      <c r="DY70" s="13" t="str">
        <f t="shared" si="17"/>
        <v>0.000000001</v>
      </c>
      <c r="DZ70" s="13" t="str">
        <f t="shared" si="13"/>
        <v>0.010799+14.470223i</v>
      </c>
      <c r="EA70" s="14" t="str">
        <f t="shared" ref="EA70:EA133" si="24">COMPLEX(ROUND($AJ$40,6),ROUND(0.0001,6))</f>
        <v>10.798674+0.0001i</v>
      </c>
      <c r="EC70" s="1" t="str">
        <f t="shared" ref="EC70:EC133" si="25">COMPLEX(ROUND(IMREAL(IMSUM(DZ70,DY70)),6),ROUND(IMAGINARY(IMSUM(DZ70,DY70)),6))</f>
        <v>0.010799+14.470223i</v>
      </c>
      <c r="ED70" s="1" t="str">
        <f t="shared" ref="ED70:ED133" si="26">COMPLEX(ROUND(IMREAL(IMPRODUCT(EC70,EA70)),6),ROUND(IMAGINARY(IMPRODUCT(EC70,EA70)),6))</f>
        <v>0.115168+156.259222i</v>
      </c>
      <c r="EE70" s="1" t="str">
        <f t="shared" ref="EE70:EE133" si="27">COMPLEX(ROUND(IMREAL(IMSUM(EA70,EC70)),6),ROUND(IMAGINARY(IMSUM(EA70,EC70)),6))</f>
        <v>10.809473+14.470323i</v>
      </c>
      <c r="EF70" s="1" t="str">
        <f t="shared" ref="EF70:EF133" si="28">COMPLEX(ROUND(IMREAL(IMDIV(ED70,EE70)),6),ROUND(IMAGINARY(IMDIV(ED70,EE70)),6))</f>
        <v>6.934776+5.172387i</v>
      </c>
      <c r="EG70" s="1" t="str">
        <f t="shared" ref="EG70:EG133" si="29">COMPLEX(ROUND(IMREAL(IMSUM(EF70,DX70)),6),ROUND(IMAGINARY(IMSUM(EF70,DX70)),6))</f>
        <v>6.934876+3.157709i</v>
      </c>
      <c r="FN70" s="1">
        <f t="shared" si="15"/>
        <v>14</v>
      </c>
      <c r="FO70" s="1">
        <f t="shared" si="16"/>
        <v>7.8229204018914826</v>
      </c>
    </row>
    <row r="71" spans="2:171" ht="18" customHeight="1" x14ac:dyDescent="0.25">
      <c r="B71" s="6"/>
      <c r="C71" s="75">
        <f>AD24</f>
        <v>23</v>
      </c>
      <c r="D71" s="75"/>
      <c r="E71" s="75"/>
      <c r="F71" s="75"/>
      <c r="G71" s="75"/>
      <c r="H71" s="24"/>
      <c r="I71" s="124">
        <f>AD25</f>
        <v>10</v>
      </c>
      <c r="J71" s="124"/>
      <c r="K71" s="124"/>
      <c r="L71" s="124"/>
      <c r="M71" s="50"/>
      <c r="O71" s="125">
        <f t="shared" si="22"/>
        <v>11.737688707729472</v>
      </c>
      <c r="P71" s="125"/>
      <c r="Q71" s="125"/>
      <c r="R71" s="125"/>
      <c r="U71" s="125">
        <f>EK277</f>
        <v>3.9872611141445002</v>
      </c>
      <c r="V71" s="125"/>
      <c r="W71" s="125"/>
      <c r="X71" s="125"/>
      <c r="Y71" s="125"/>
      <c r="AB71" s="78">
        <f>EK278</f>
        <v>9.1707005625323514</v>
      </c>
      <c r="AC71" s="78"/>
      <c r="AD71" s="78"/>
      <c r="AE71" s="78"/>
      <c r="AF71" s="78"/>
      <c r="AI71" s="126">
        <f>(VLOOKUP(AD24+0.1,'HP Filter Design'!$FN$5:$FO$250,2)*AD25)/((($S$17*1000)/1.73205))</f>
        <v>1.3188165648713845E-2</v>
      </c>
      <c r="AJ71" s="126"/>
      <c r="AK71" s="126"/>
      <c r="AL71" s="126"/>
      <c r="AM71" s="126"/>
      <c r="AP71" s="8"/>
      <c r="AR71" s="6"/>
      <c r="CC71" s="17"/>
      <c r="CF71" s="8"/>
      <c r="CL71" s="107">
        <f t="shared" si="18"/>
        <v>25</v>
      </c>
      <c r="CM71" s="107"/>
      <c r="CN71" s="107"/>
      <c r="CO71" s="107">
        <f t="shared" si="19"/>
        <v>10</v>
      </c>
      <c r="CP71" s="107"/>
      <c r="CQ71" s="107"/>
      <c r="CR71" s="107">
        <f t="shared" si="20"/>
        <v>3.7139067635410372</v>
      </c>
      <c r="CS71" s="107"/>
      <c r="CT71" s="107"/>
      <c r="CU71" s="107"/>
      <c r="CV71" s="107">
        <f t="shared" si="21"/>
        <v>5.5708601453115563</v>
      </c>
      <c r="CW71" s="107"/>
      <c r="CX71" s="107"/>
      <c r="DW71" s="1">
        <f t="shared" si="14"/>
        <v>13.6</v>
      </c>
      <c r="DX71" s="12" t="str">
        <f t="shared" si="23"/>
        <v>0.0001-1.98505i</v>
      </c>
      <c r="DY71" s="13" t="str">
        <f t="shared" si="17"/>
        <v>0.000000001</v>
      </c>
      <c r="DZ71" s="13" t="str">
        <f t="shared" ref="DZ71:DZ134" si="30">COMPLEX(ROUND($AJ$34/$S$34,6),ROUND($AJ$34*DW71,6))</f>
        <v>0.010799+14.686196i</v>
      </c>
      <c r="EA71" s="14" t="str">
        <f t="shared" si="24"/>
        <v>10.798674+0.0001i</v>
      </c>
      <c r="EC71" s="1" t="str">
        <f t="shared" si="25"/>
        <v>0.010799+14.686196i</v>
      </c>
      <c r="ED71" s="1" t="str">
        <f t="shared" si="26"/>
        <v>0.115146+158.591444i</v>
      </c>
      <c r="EE71" s="1" t="str">
        <f t="shared" si="27"/>
        <v>10.809473+14.686296i</v>
      </c>
      <c r="EF71" s="1" t="str">
        <f t="shared" si="28"/>
        <v>7.007944+5.150178i</v>
      </c>
      <c r="EG71" s="1" t="str">
        <f t="shared" si="29"/>
        <v>7.008044+3.165128i</v>
      </c>
      <c r="FN71" s="1">
        <f t="shared" si="15"/>
        <v>14.2</v>
      </c>
      <c r="FO71" s="1">
        <f t="shared" si="16"/>
        <v>7.8866344532354864</v>
      </c>
    </row>
    <row r="72" spans="2:171" ht="18" customHeight="1" x14ac:dyDescent="0.25">
      <c r="B72" s="6"/>
      <c r="C72" s="75">
        <f>AF24</f>
        <v>25</v>
      </c>
      <c r="D72" s="75"/>
      <c r="E72" s="75"/>
      <c r="F72" s="75"/>
      <c r="G72" s="75"/>
      <c r="H72" s="24"/>
      <c r="I72" s="124">
        <f>AF25</f>
        <v>10</v>
      </c>
      <c r="J72" s="124"/>
      <c r="K72" s="124"/>
      <c r="L72" s="124"/>
      <c r="M72" s="50"/>
      <c r="O72" s="125">
        <f t="shared" si="22"/>
        <v>10.798673611111113</v>
      </c>
      <c r="P72" s="125"/>
      <c r="Q72" s="125"/>
      <c r="R72" s="125"/>
      <c r="U72" s="125">
        <f>EL277</f>
        <v>3.7139067635410372</v>
      </c>
      <c r="V72" s="125"/>
      <c r="W72" s="125"/>
      <c r="X72" s="125"/>
      <c r="Y72" s="125"/>
      <c r="AB72" s="78">
        <f>EL278</f>
        <v>9.2847669088525944</v>
      </c>
      <c r="AC72" s="78"/>
      <c r="AD72" s="78"/>
      <c r="AE72" s="78"/>
      <c r="AF72" s="78"/>
      <c r="AI72" s="126">
        <f>(VLOOKUP(AF24+0.1,'HP Filter Design'!$FN$5:$FO$250,2)*AF25)/((($S$17*1000)/1.73205))</f>
        <v>1.3439822194969685E-2</v>
      </c>
      <c r="AJ72" s="126"/>
      <c r="AK72" s="126"/>
      <c r="AL72" s="126"/>
      <c r="AM72" s="126"/>
      <c r="AP72" s="8"/>
      <c r="AR72" s="6"/>
      <c r="CC72" s="17"/>
      <c r="CF72" s="8"/>
      <c r="CL72" s="107">
        <f t="shared" si="18"/>
        <v>29</v>
      </c>
      <c r="CM72" s="107"/>
      <c r="CN72" s="107"/>
      <c r="CO72" s="107">
        <f t="shared" si="19"/>
        <v>0</v>
      </c>
      <c r="CP72" s="107"/>
      <c r="CQ72" s="107"/>
      <c r="CR72" s="107">
        <f t="shared" si="20"/>
        <v>0</v>
      </c>
      <c r="CS72" s="107"/>
      <c r="CT72" s="107"/>
      <c r="CU72" s="107"/>
      <c r="CV72" s="107">
        <f t="shared" si="21"/>
        <v>0</v>
      </c>
      <c r="CW72" s="107"/>
      <c r="CX72" s="107"/>
      <c r="DV72" s="1" t="s">
        <v>11</v>
      </c>
      <c r="DW72" s="1">
        <f t="shared" ref="DW72:DW135" si="31">ROUND(DW71+0.2,1)</f>
        <v>13.8</v>
      </c>
      <c r="DX72" s="12" t="str">
        <f t="shared" si="23"/>
        <v>0.0001-1.956281i</v>
      </c>
      <c r="DY72" s="13" t="str">
        <f t="shared" si="17"/>
        <v>0.000000001</v>
      </c>
      <c r="DZ72" s="13" t="str">
        <f t="shared" si="30"/>
        <v>0.010799+14.90217i</v>
      </c>
      <c r="EA72" s="14" t="str">
        <f t="shared" si="24"/>
        <v>10.798674+0.0001i</v>
      </c>
      <c r="EC72" s="1" t="str">
        <f t="shared" si="25"/>
        <v>0.010799+14.90217i</v>
      </c>
      <c r="ED72" s="1" t="str">
        <f t="shared" si="26"/>
        <v>0.115125+160.923677i</v>
      </c>
      <c r="EE72" s="1" t="str">
        <f t="shared" si="27"/>
        <v>10.809473+14.90227i</v>
      </c>
      <c r="EF72" s="1" t="str">
        <f t="shared" si="28"/>
        <v>7.079416+5.127382i</v>
      </c>
      <c r="EG72" s="1" t="str">
        <f t="shared" si="29"/>
        <v>7.079516+3.171101i</v>
      </c>
      <c r="FN72" s="1">
        <f t="shared" si="15"/>
        <v>14.4</v>
      </c>
      <c r="FO72" s="1">
        <f t="shared" si="16"/>
        <v>7.9484903323152496</v>
      </c>
    </row>
    <row r="73" spans="2:171" ht="18" customHeight="1" x14ac:dyDescent="0.25">
      <c r="B73" s="6"/>
      <c r="C73" s="75">
        <f>AH24</f>
        <v>29</v>
      </c>
      <c r="D73" s="75"/>
      <c r="E73" s="75"/>
      <c r="F73" s="75"/>
      <c r="G73" s="75"/>
      <c r="H73" s="24"/>
      <c r="I73" s="124">
        <f>AH25</f>
        <v>0</v>
      </c>
      <c r="J73" s="124"/>
      <c r="K73" s="124"/>
      <c r="L73" s="124"/>
      <c r="M73" s="50"/>
      <c r="O73" s="125">
        <f t="shared" si="22"/>
        <v>0</v>
      </c>
      <c r="P73" s="125"/>
      <c r="Q73" s="125"/>
      <c r="R73" s="125"/>
      <c r="U73" s="125">
        <f>EM277</f>
        <v>0</v>
      </c>
      <c r="V73" s="125"/>
      <c r="W73" s="125"/>
      <c r="X73" s="125"/>
      <c r="Y73" s="125"/>
      <c r="AB73" s="78">
        <f>EM278</f>
        <v>0</v>
      </c>
      <c r="AC73" s="78"/>
      <c r="AD73" s="78"/>
      <c r="AE73" s="78"/>
      <c r="AF73" s="78"/>
      <c r="AI73" s="126">
        <f>(VLOOKUP(AH24+0.1,'HP Filter Design'!$FN$5:$FO$250,2)*AH25)/((($S$17*1000)/1.73205))</f>
        <v>0</v>
      </c>
      <c r="AJ73" s="126"/>
      <c r="AK73" s="126"/>
      <c r="AL73" s="126"/>
      <c r="AM73" s="126"/>
      <c r="AP73" s="8"/>
      <c r="AR73" s="6"/>
      <c r="AT73" s="107"/>
      <c r="AU73" s="107"/>
      <c r="AV73" s="107"/>
      <c r="AW73" s="107"/>
      <c r="AX73" s="107"/>
      <c r="BK73" s="1" t="str">
        <f>"Capacitor: Qty("&amp;S29*3&amp;"), "&amp;ROUND(AJ28,0)&amp;" kvar, "&amp;S28&amp;" kV, "&amp;ROUND(CA19,2)&amp;" µF/Can"</f>
        <v>Capacitor: Qty(15), 735 kvar, 9.96 kV, 19.65 µF/Can</v>
      </c>
      <c r="CC73" s="17"/>
      <c r="CF73" s="8"/>
      <c r="CL73" s="107">
        <f t="shared" si="18"/>
        <v>31</v>
      </c>
      <c r="CM73" s="107"/>
      <c r="CN73" s="107"/>
      <c r="CO73" s="107">
        <f t="shared" si="19"/>
        <v>0</v>
      </c>
      <c r="CP73" s="107"/>
      <c r="CQ73" s="107"/>
      <c r="CR73" s="107">
        <f t="shared" si="20"/>
        <v>0</v>
      </c>
      <c r="CS73" s="107"/>
      <c r="CT73" s="107"/>
      <c r="CU73" s="107"/>
      <c r="CV73" s="107">
        <f t="shared" si="21"/>
        <v>0</v>
      </c>
      <c r="CW73" s="107"/>
      <c r="CX73" s="107"/>
      <c r="DW73" s="1">
        <f t="shared" si="31"/>
        <v>14</v>
      </c>
      <c r="DX73" s="12" t="str">
        <f t="shared" si="23"/>
        <v>0.0001-1.928335i</v>
      </c>
      <c r="DY73" s="13" t="str">
        <f t="shared" si="17"/>
        <v>0.000000001</v>
      </c>
      <c r="DZ73" s="13" t="str">
        <f t="shared" si="30"/>
        <v>0.010799+15.118143i</v>
      </c>
      <c r="EA73" s="14" t="str">
        <f t="shared" si="24"/>
        <v>10.798674+0.0001i</v>
      </c>
      <c r="EC73" s="1" t="str">
        <f t="shared" si="25"/>
        <v>0.010799+15.118143i</v>
      </c>
      <c r="ED73" s="1" t="str">
        <f t="shared" si="26"/>
        <v>0.115103+163.255899i</v>
      </c>
      <c r="EE73" s="1" t="str">
        <f t="shared" si="27"/>
        <v>10.809473+15.118243i</v>
      </c>
      <c r="EF73" s="1" t="str">
        <f t="shared" si="28"/>
        <v>7.149229+5.104052i</v>
      </c>
      <c r="EG73" s="1" t="str">
        <f t="shared" si="29"/>
        <v>7.149329+3.175717i</v>
      </c>
      <c r="FN73" s="1">
        <f t="shared" si="15"/>
        <v>14.6</v>
      </c>
      <c r="FO73" s="1">
        <f t="shared" si="16"/>
        <v>8.008553252140489</v>
      </c>
    </row>
    <row r="74" spans="2:171" ht="18" customHeight="1" x14ac:dyDescent="0.25">
      <c r="B74" s="6"/>
      <c r="C74" s="75">
        <f>AJ24</f>
        <v>31</v>
      </c>
      <c r="D74" s="75"/>
      <c r="E74" s="75"/>
      <c r="F74" s="75"/>
      <c r="G74" s="75"/>
      <c r="H74" s="24"/>
      <c r="I74" s="124">
        <f>AJ25</f>
        <v>0</v>
      </c>
      <c r="J74" s="124"/>
      <c r="K74" s="124"/>
      <c r="L74" s="124"/>
      <c r="M74" s="50"/>
      <c r="O74" s="125">
        <f t="shared" si="22"/>
        <v>0</v>
      </c>
      <c r="P74" s="125"/>
      <c r="Q74" s="125"/>
      <c r="R74" s="125"/>
      <c r="U74" s="125">
        <f>EN277</f>
        <v>0</v>
      </c>
      <c r="V74" s="125"/>
      <c r="W74" s="125"/>
      <c r="X74" s="125"/>
      <c r="Y74" s="125"/>
      <c r="AB74" s="78">
        <f>EN278</f>
        <v>0</v>
      </c>
      <c r="AC74" s="78"/>
      <c r="AD74" s="78"/>
      <c r="AE74" s="78"/>
      <c r="AF74" s="78"/>
      <c r="AI74" s="126">
        <f>(VLOOKUP(AJ24+0.1,'HP Filter Design'!$FN$5:$FO$250,2)*AJ25)/((($S$17*1000)/1.73205))</f>
        <v>0</v>
      </c>
      <c r="AJ74" s="126"/>
      <c r="AK74" s="126"/>
      <c r="AL74" s="126"/>
      <c r="AM74" s="126"/>
      <c r="AP74" s="8"/>
      <c r="AR74" s="6"/>
      <c r="CC74" s="17"/>
      <c r="CE74" s="17"/>
      <c r="CF74" s="8"/>
      <c r="CL74" s="107">
        <f t="shared" si="18"/>
        <v>35</v>
      </c>
      <c r="CM74" s="107"/>
      <c r="CN74" s="107"/>
      <c r="CO74" s="107">
        <f t="shared" si="19"/>
        <v>10</v>
      </c>
      <c r="CP74" s="107"/>
      <c r="CQ74" s="107"/>
      <c r="CR74" s="107">
        <f t="shared" si="20"/>
        <v>2.7472112789737806</v>
      </c>
      <c r="CS74" s="107"/>
      <c r="CT74" s="107"/>
      <c r="CU74" s="107"/>
      <c r="CV74" s="107">
        <f t="shared" si="21"/>
        <v>4.1208169184606707</v>
      </c>
      <c r="CW74" s="107"/>
      <c r="CX74" s="107"/>
      <c r="DW74" s="1">
        <f t="shared" si="31"/>
        <v>14.2</v>
      </c>
      <c r="DX74" s="12" t="str">
        <f t="shared" si="23"/>
        <v>0.0001-1.901175i</v>
      </c>
      <c r="DY74" s="13" t="str">
        <f t="shared" si="17"/>
        <v>0.000000001</v>
      </c>
      <c r="DZ74" s="13" t="str">
        <f t="shared" si="30"/>
        <v>0.010799+15.334117i</v>
      </c>
      <c r="EA74" s="14" t="str">
        <f t="shared" si="24"/>
        <v>10.798674+0.0001i</v>
      </c>
      <c r="EC74" s="1" t="str">
        <f t="shared" si="25"/>
        <v>0.010799+15.334117i</v>
      </c>
      <c r="ED74" s="1" t="str">
        <f t="shared" si="26"/>
        <v>0.115081+165.588132i</v>
      </c>
      <c r="EE74" s="1" t="str">
        <f t="shared" si="27"/>
        <v>10.809473+15.334217i</v>
      </c>
      <c r="EF74" s="1" t="str">
        <f t="shared" si="28"/>
        <v>7.217419+5.080235i</v>
      </c>
      <c r="EG74" s="1" t="str">
        <f t="shared" si="29"/>
        <v>7.217519+3.17906i</v>
      </c>
      <c r="FN74" s="1">
        <f t="shared" si="15"/>
        <v>14.8</v>
      </c>
      <c r="FO74" s="1">
        <f t="shared" si="16"/>
        <v>8.0668865073882134</v>
      </c>
    </row>
    <row r="75" spans="2:171" ht="18" customHeight="1" x14ac:dyDescent="0.25">
      <c r="B75" s="6"/>
      <c r="C75" s="75">
        <f>AL24</f>
        <v>35</v>
      </c>
      <c r="D75" s="75"/>
      <c r="E75" s="75"/>
      <c r="F75" s="75"/>
      <c r="G75" s="75"/>
      <c r="H75" s="24"/>
      <c r="I75" s="124">
        <f>AL25</f>
        <v>10</v>
      </c>
      <c r="J75" s="124"/>
      <c r="K75" s="124"/>
      <c r="L75" s="124"/>
      <c r="M75" s="50"/>
      <c r="O75" s="125">
        <f t="shared" si="22"/>
        <v>7.7133382936507955</v>
      </c>
      <c r="P75" s="125"/>
      <c r="Q75" s="125"/>
      <c r="R75" s="125"/>
      <c r="U75" s="125">
        <f>EO277</f>
        <v>2.7472112789737806</v>
      </c>
      <c r="V75" s="125"/>
      <c r="W75" s="125"/>
      <c r="X75" s="125"/>
      <c r="Y75" s="125"/>
      <c r="AB75" s="78">
        <f>EO278</f>
        <v>9.6152394764082327</v>
      </c>
      <c r="AC75" s="78"/>
      <c r="AD75" s="78"/>
      <c r="AE75" s="78"/>
      <c r="AF75" s="78"/>
      <c r="AI75" s="126">
        <f>(VLOOKUP(AL24+0.1,'HP Filter Design'!$FN$5:$FO$250,2)*AL25)/((($S$17*1000)/1.73205))</f>
        <v>1.4164177847264096E-2</v>
      </c>
      <c r="AJ75" s="126"/>
      <c r="AK75" s="126"/>
      <c r="AL75" s="126"/>
      <c r="AM75" s="126"/>
      <c r="AP75" s="8"/>
      <c r="AR75" s="6"/>
      <c r="CC75" s="17"/>
      <c r="CE75" s="17"/>
      <c r="CF75" s="8"/>
      <c r="CL75" s="107">
        <f t="shared" si="18"/>
        <v>37</v>
      </c>
      <c r="CM75" s="107"/>
      <c r="CN75" s="107"/>
      <c r="CO75" s="107">
        <f t="shared" si="19"/>
        <v>10</v>
      </c>
      <c r="CP75" s="107"/>
      <c r="CQ75" s="107"/>
      <c r="CR75" s="107">
        <f t="shared" si="20"/>
        <v>2.6090902514277472</v>
      </c>
      <c r="CS75" s="107"/>
      <c r="CT75" s="107"/>
      <c r="CU75" s="107"/>
      <c r="CV75" s="107">
        <f t="shared" si="21"/>
        <v>3.9136353771416208</v>
      </c>
      <c r="CW75" s="107"/>
      <c r="CX75" s="107"/>
      <c r="DW75" s="1">
        <f t="shared" si="31"/>
        <v>14.4</v>
      </c>
      <c r="DX75" s="12" t="str">
        <f t="shared" si="23"/>
        <v>0.0001-1.87477i</v>
      </c>
      <c r="DY75" s="13" t="str">
        <f t="shared" si="17"/>
        <v>0.000000001</v>
      </c>
      <c r="DZ75" s="13" t="str">
        <f t="shared" si="30"/>
        <v>0.010799+15.55009i</v>
      </c>
      <c r="EA75" s="14" t="str">
        <f t="shared" si="24"/>
        <v>10.798674+0.0001i</v>
      </c>
      <c r="EC75" s="1" t="str">
        <f t="shared" si="25"/>
        <v>0.010799+15.55009i</v>
      </c>
      <c r="ED75" s="1" t="str">
        <f t="shared" si="26"/>
        <v>0.11506+167.920354i</v>
      </c>
      <c r="EE75" s="1" t="str">
        <f t="shared" si="27"/>
        <v>10.809473+15.55019i</v>
      </c>
      <c r="EF75" s="1" t="str">
        <f t="shared" si="28"/>
        <v>7.284022+5.055975i</v>
      </c>
      <c r="EG75" s="1" t="str">
        <f t="shared" si="29"/>
        <v>7.284122+3.181205i</v>
      </c>
      <c r="FN75" s="1">
        <f t="shared" si="15"/>
        <v>15</v>
      </c>
      <c r="FO75" s="1">
        <f t="shared" si="16"/>
        <v>8.1235486978955809</v>
      </c>
    </row>
    <row r="76" spans="2:171" ht="18" customHeight="1" x14ac:dyDescent="0.25">
      <c r="B76" s="6"/>
      <c r="C76" s="75">
        <f>AN24</f>
        <v>37</v>
      </c>
      <c r="D76" s="75"/>
      <c r="E76" s="75"/>
      <c r="F76" s="75"/>
      <c r="G76" s="75"/>
      <c r="H76" s="24"/>
      <c r="I76" s="127">
        <f>AN25</f>
        <v>10</v>
      </c>
      <c r="J76" s="127"/>
      <c r="K76" s="127"/>
      <c r="L76" s="127"/>
      <c r="M76" s="50"/>
      <c r="O76" s="128">
        <f t="shared" si="22"/>
        <v>7.296401088588591</v>
      </c>
      <c r="P76" s="128"/>
      <c r="Q76" s="128"/>
      <c r="R76" s="128"/>
      <c r="U76" s="125">
        <f>EP277</f>
        <v>2.6090902514277472</v>
      </c>
      <c r="V76" s="125"/>
      <c r="W76" s="125"/>
      <c r="X76" s="125"/>
      <c r="Y76" s="125"/>
      <c r="AB76" s="79">
        <f>EP278</f>
        <v>9.6536339302826644</v>
      </c>
      <c r="AC76" s="79"/>
      <c r="AD76" s="79"/>
      <c r="AE76" s="79"/>
      <c r="AF76" s="79"/>
      <c r="AI76" s="129">
        <f>(VLOOKUP(AN24+0.1,'HP Filter Design'!$FN$5:$FO$250,2)*AN25)/((($S$17*1000)/1.73205))</f>
        <v>1.4247892873952808E-2</v>
      </c>
      <c r="AJ76" s="129"/>
      <c r="AK76" s="129"/>
      <c r="AL76" s="129"/>
      <c r="AM76" s="129"/>
      <c r="AP76" s="8"/>
      <c r="AR76" s="6"/>
      <c r="CC76" s="17"/>
      <c r="CE76" s="17"/>
      <c r="CF76" s="8"/>
      <c r="DW76" s="1">
        <f t="shared" si="31"/>
        <v>14.6</v>
      </c>
      <c r="DX76" s="12" t="str">
        <f t="shared" si="23"/>
        <v>0.0001-1.849088i</v>
      </c>
      <c r="DY76" s="13" t="str">
        <f t="shared" si="17"/>
        <v>0.000000001</v>
      </c>
      <c r="DZ76" s="13" t="str">
        <f t="shared" si="30"/>
        <v>0.010799+15.766063i</v>
      </c>
      <c r="EA76" s="14" t="str">
        <f t="shared" si="24"/>
        <v>10.798674+0.0001i</v>
      </c>
      <c r="EC76" s="1" t="str">
        <f t="shared" si="25"/>
        <v>0.010799+15.766063i</v>
      </c>
      <c r="ED76" s="1" t="str">
        <f t="shared" si="26"/>
        <v>0.115038+170.252576i</v>
      </c>
      <c r="EE76" s="1" t="str">
        <f t="shared" si="27"/>
        <v>10.809473+15.766163i</v>
      </c>
      <c r="EF76" s="1" t="str">
        <f t="shared" si="28"/>
        <v>7.349073+5.031317i</v>
      </c>
      <c r="EG76" s="1" t="str">
        <f t="shared" si="29"/>
        <v>7.349173+3.182229i</v>
      </c>
      <c r="FN76" s="1">
        <f t="shared" si="15"/>
        <v>15.2</v>
      </c>
      <c r="FO76" s="1">
        <f t="shared" si="16"/>
        <v>8.1785978287035253</v>
      </c>
    </row>
    <row r="77" spans="2:171" ht="18" customHeight="1" x14ac:dyDescent="0.25">
      <c r="B77" s="6"/>
      <c r="C77" s="17"/>
      <c r="D77" s="17"/>
      <c r="E77" s="17"/>
      <c r="F77" s="17"/>
      <c r="G77" s="17"/>
      <c r="H77" s="29" t="s">
        <v>107</v>
      </c>
      <c r="I77" s="122">
        <f>AK21</f>
        <v>314.88575741906226</v>
      </c>
      <c r="J77" s="122"/>
      <c r="K77" s="122"/>
      <c r="L77" s="122"/>
      <c r="M77" s="53"/>
      <c r="O77" s="118">
        <f>SQRT(SUM(EA261:EH261)+SUM(EI261:EP261))</f>
        <v>7535.9885317495264</v>
      </c>
      <c r="P77" s="118"/>
      <c r="Q77" s="118"/>
      <c r="R77" s="118"/>
      <c r="U77" s="122">
        <f>SQRT(SUM(EA285:EP285))</f>
        <v>301.68620772912675</v>
      </c>
      <c r="V77" s="122"/>
      <c r="W77" s="122"/>
      <c r="X77" s="122"/>
      <c r="Y77" s="122"/>
      <c r="AB77" s="77">
        <f>SQRT(SUM(EA280:EP280))</f>
        <v>90.213481760736258</v>
      </c>
      <c r="AC77" s="77"/>
      <c r="AD77" s="77"/>
      <c r="AE77" s="77"/>
      <c r="AF77" s="77"/>
      <c r="AI77" s="123">
        <f>SQRT(AI62^2+AI63^2+AI64^2+AI65^2+AI66^2+AI67^2+AI68^2+AI69^2+AI70^2+AI71^2+AI72^2+AI73^2+AI74^2+AI75^2+AI76^2)</f>
        <v>9.135629497732782E-2</v>
      </c>
      <c r="AJ77" s="123"/>
      <c r="AK77" s="123"/>
      <c r="AL77" s="123"/>
      <c r="AM77" s="123"/>
      <c r="AP77" s="8"/>
      <c r="AR77" s="6"/>
      <c r="CE77" s="17"/>
      <c r="CF77" s="8"/>
      <c r="DW77" s="1">
        <f t="shared" si="31"/>
        <v>14.8</v>
      </c>
      <c r="DX77" s="12" t="str">
        <f t="shared" si="23"/>
        <v>0.0001-1.8241i</v>
      </c>
      <c r="DY77" s="13" t="str">
        <f t="shared" si="17"/>
        <v>0.000000001</v>
      </c>
      <c r="DZ77" s="13" t="str">
        <f t="shared" si="30"/>
        <v>0.010799+15.982037i</v>
      </c>
      <c r="EA77" s="14" t="str">
        <f t="shared" si="24"/>
        <v>10.798674+0.0001i</v>
      </c>
      <c r="EC77" s="1" t="str">
        <f t="shared" si="25"/>
        <v>0.010799+15.982037i</v>
      </c>
      <c r="ED77" s="1" t="str">
        <f t="shared" si="26"/>
        <v>0.115017+172.584808i</v>
      </c>
      <c r="EE77" s="1" t="str">
        <f t="shared" si="27"/>
        <v>10.809473+15.982137i</v>
      </c>
      <c r="EF77" s="1" t="str">
        <f t="shared" si="28"/>
        <v>7.412609+5.006301i</v>
      </c>
      <c r="EG77" s="1" t="str">
        <f t="shared" si="29"/>
        <v>7.412709+3.182201i</v>
      </c>
      <c r="FN77" s="1">
        <f t="shared" si="15"/>
        <v>15.4</v>
      </c>
      <c r="FO77" s="1">
        <f t="shared" si="16"/>
        <v>8.2320905663580373</v>
      </c>
    </row>
    <row r="78" spans="2:171" ht="18" customHeight="1" x14ac:dyDescent="0.25">
      <c r="B78" s="6"/>
      <c r="C78" s="33" t="s">
        <v>108</v>
      </c>
      <c r="AP78" s="8"/>
      <c r="AR78" s="6"/>
      <c r="CE78" s="17"/>
      <c r="CF78" s="8"/>
      <c r="DW78" s="1">
        <f t="shared" si="31"/>
        <v>15</v>
      </c>
      <c r="DX78" s="12" t="str">
        <f t="shared" si="23"/>
        <v>0.0001-1.799779i</v>
      </c>
      <c r="DY78" s="13" t="str">
        <f t="shared" si="17"/>
        <v>0.000000001</v>
      </c>
      <c r="DZ78" s="13" t="str">
        <f t="shared" si="30"/>
        <v>0.010799+16.19801i</v>
      </c>
      <c r="EA78" s="14" t="str">
        <f t="shared" si="24"/>
        <v>10.798674+0.0001i</v>
      </c>
      <c r="EC78" s="1" t="str">
        <f t="shared" si="25"/>
        <v>0.010799+16.19801i</v>
      </c>
      <c r="ED78" s="1" t="str">
        <f t="shared" si="26"/>
        <v>0.114995+174.917031i</v>
      </c>
      <c r="EE78" s="1" t="str">
        <f t="shared" si="27"/>
        <v>10.809473+16.19811i</v>
      </c>
      <c r="EF78" s="1" t="str">
        <f t="shared" si="28"/>
        <v>7.474665+4.980963i</v>
      </c>
      <c r="EG78" s="1" t="str">
        <f t="shared" si="29"/>
        <v>7.474765+3.181184i</v>
      </c>
      <c r="FN78" s="1">
        <f t="shared" si="15"/>
        <v>15.6</v>
      </c>
      <c r="FO78" s="1">
        <f t="shared" si="16"/>
        <v>8.2840775717918635</v>
      </c>
    </row>
    <row r="79" spans="2:171" ht="18" customHeight="1" x14ac:dyDescent="0.25">
      <c r="B79" s="6"/>
      <c r="AP79" s="8"/>
      <c r="AR79" s="6"/>
      <c r="CE79" s="17"/>
      <c r="CF79" s="8"/>
      <c r="DW79" s="1">
        <f t="shared" si="31"/>
        <v>15.2</v>
      </c>
      <c r="DX79" s="12" t="str">
        <f t="shared" si="23"/>
        <v>0.0001-1.776098i</v>
      </c>
      <c r="DY79" s="13" t="str">
        <f t="shared" si="17"/>
        <v>0.000000001</v>
      </c>
      <c r="DZ79" s="13" t="str">
        <f t="shared" si="30"/>
        <v>0.010799+16.413984i</v>
      </c>
      <c r="EA79" s="14" t="str">
        <f t="shared" si="24"/>
        <v>10.798674+0.0001i</v>
      </c>
      <c r="EC79" s="1" t="str">
        <f t="shared" si="25"/>
        <v>0.010799+16.413984i</v>
      </c>
      <c r="ED79" s="1" t="str">
        <f t="shared" si="26"/>
        <v>0.114973+177.249263i</v>
      </c>
      <c r="EE79" s="1" t="str">
        <f t="shared" si="27"/>
        <v>10.809473+16.414084i</v>
      </c>
      <c r="EF79" s="1" t="str">
        <f t="shared" si="28"/>
        <v>7.535275+4.955341i</v>
      </c>
      <c r="EG79" s="1" t="str">
        <f t="shared" si="29"/>
        <v>7.535375+3.179243i</v>
      </c>
      <c r="FN79" s="1">
        <f t="shared" si="15"/>
        <v>15.8</v>
      </c>
      <c r="FO79" s="1">
        <f t="shared" si="16"/>
        <v>8.3346136059791647</v>
      </c>
    </row>
    <row r="80" spans="2:171" ht="18" customHeight="1" x14ac:dyDescent="0.25">
      <c r="B80" s="6"/>
      <c r="C80" s="17"/>
      <c r="E80" s="17"/>
      <c r="F80" s="17"/>
      <c r="G80" s="17"/>
      <c r="H80" s="17"/>
      <c r="I80" s="17"/>
      <c r="J80" s="17"/>
      <c r="K80" s="17"/>
      <c r="L80" s="17"/>
      <c r="M80" s="17"/>
      <c r="N80" s="17"/>
      <c r="O80" s="17"/>
      <c r="X80" s="17"/>
      <c r="Y80" s="17"/>
      <c r="Z80" s="17"/>
      <c r="AA80" s="17"/>
      <c r="AB80" s="17"/>
      <c r="AG80" s="29"/>
      <c r="AM80" s="17"/>
      <c r="AN80" s="17"/>
      <c r="AP80" s="8"/>
      <c r="AR80" s="6"/>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8"/>
      <c r="DW80" s="1">
        <f t="shared" si="31"/>
        <v>15.4</v>
      </c>
      <c r="DX80" s="12" t="str">
        <f t="shared" si="23"/>
        <v>0.0001-1.753031i</v>
      </c>
      <c r="DY80" s="13" t="str">
        <f t="shared" si="17"/>
        <v>0.000000001</v>
      </c>
      <c r="DZ80" s="13" t="str">
        <f t="shared" si="30"/>
        <v>0.010799+16.629957i</v>
      </c>
      <c r="EA80" s="14" t="str">
        <f t="shared" si="24"/>
        <v>10.798674+0.0001i</v>
      </c>
      <c r="EC80" s="1" t="str">
        <f t="shared" si="25"/>
        <v>0.010799+16.629957i</v>
      </c>
      <c r="ED80" s="1" t="str">
        <f t="shared" si="26"/>
        <v>0.114952+179.581485i</v>
      </c>
      <c r="EE80" s="1" t="str">
        <f t="shared" si="27"/>
        <v>10.809473+16.630057i</v>
      </c>
      <c r="EF80" s="1" t="str">
        <f t="shared" si="28"/>
        <v>7.594475+4.929467i</v>
      </c>
      <c r="EG80" s="1" t="str">
        <f t="shared" si="29"/>
        <v>7.594575+3.176436i</v>
      </c>
      <c r="FN80" s="1">
        <f t="shared" si="15"/>
        <v>16</v>
      </c>
      <c r="FO80" s="1">
        <f t="shared" si="16"/>
        <v>8.3837454151421493</v>
      </c>
    </row>
    <row r="81" spans="2:174" ht="18" customHeight="1" x14ac:dyDescent="0.25">
      <c r="B81" s="6"/>
      <c r="C81" s="17"/>
      <c r="E81" s="17"/>
      <c r="F81" s="17"/>
      <c r="G81" s="17"/>
      <c r="H81" s="17"/>
      <c r="I81" s="17"/>
      <c r="J81" s="17"/>
      <c r="K81" s="17"/>
      <c r="S81" s="17"/>
      <c r="T81" s="17"/>
      <c r="U81" s="17"/>
      <c r="V81" s="17"/>
      <c r="W81" s="17"/>
      <c r="X81" s="17"/>
      <c r="Y81" s="17"/>
      <c r="Z81" s="17"/>
      <c r="AA81" s="17"/>
      <c r="AB81" s="17"/>
      <c r="AC81" s="17"/>
      <c r="AD81" s="17"/>
      <c r="AE81" s="17"/>
      <c r="AF81" s="17"/>
      <c r="AG81" s="17"/>
      <c r="AH81" s="17"/>
      <c r="AI81" s="17"/>
      <c r="AJ81" s="17"/>
      <c r="AK81" s="17"/>
      <c r="AL81" s="17"/>
      <c r="AM81" s="17"/>
      <c r="AN81" s="17"/>
      <c r="AP81" s="8"/>
      <c r="AR81" s="6"/>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8"/>
      <c r="DW81" s="1">
        <f t="shared" si="31"/>
        <v>15.6</v>
      </c>
      <c r="DX81" s="12" t="str">
        <f t="shared" si="23"/>
        <v>0.0001-1.730557i</v>
      </c>
      <c r="DY81" s="13" t="str">
        <f t="shared" si="17"/>
        <v>0.000000001</v>
      </c>
      <c r="DZ81" s="13" t="str">
        <f t="shared" si="30"/>
        <v>0.010799+16.845931i</v>
      </c>
      <c r="EA81" s="14" t="str">
        <f t="shared" si="24"/>
        <v>10.798674+0.0001i</v>
      </c>
      <c r="EC81" s="1" t="str">
        <f t="shared" si="25"/>
        <v>0.010799+16.845931i</v>
      </c>
      <c r="ED81" s="1" t="str">
        <f t="shared" si="26"/>
        <v>0.11493+181.913718i</v>
      </c>
      <c r="EE81" s="1" t="str">
        <f t="shared" si="27"/>
        <v>10.809473+16.846031i</v>
      </c>
      <c r="EF81" s="1" t="str">
        <f t="shared" si="28"/>
        <v>7.652297+4.903373i</v>
      </c>
      <c r="EG81" s="1" t="str">
        <f t="shared" si="29"/>
        <v>7.652397+3.172816i</v>
      </c>
      <c r="FN81" s="1">
        <f t="shared" si="15"/>
        <v>16.2</v>
      </c>
      <c r="FO81" s="1">
        <f t="shared" si="16"/>
        <v>8.4315222273952397</v>
      </c>
    </row>
    <row r="82" spans="2:174" ht="18" customHeight="1" x14ac:dyDescent="0.25">
      <c r="B82" s="6"/>
      <c r="C82" s="17"/>
      <c r="D82" s="17"/>
      <c r="E82" s="17"/>
      <c r="F82" s="17"/>
      <c r="G82" s="17"/>
      <c r="H82" s="17"/>
      <c r="I82" s="17"/>
      <c r="N82" s="17"/>
      <c r="O82" s="17"/>
      <c r="P82" s="17"/>
      <c r="Q82" s="17"/>
      <c r="R82" s="17"/>
      <c r="S82" s="17"/>
      <c r="T82" s="17"/>
      <c r="U82" s="17"/>
      <c r="V82" s="17"/>
      <c r="AA82" s="17"/>
      <c r="AB82" s="17"/>
      <c r="AC82" s="17"/>
      <c r="AD82" s="17"/>
      <c r="AE82" s="17"/>
      <c r="AF82" s="17"/>
      <c r="AG82" s="17"/>
      <c r="AH82" s="17"/>
      <c r="AI82" s="17"/>
      <c r="AJ82" s="17"/>
      <c r="AK82" s="17"/>
      <c r="AL82" s="17"/>
      <c r="AM82" s="17"/>
      <c r="AN82" s="17"/>
      <c r="AP82" s="8"/>
      <c r="AR82" s="6"/>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8"/>
      <c r="DW82" s="1">
        <f t="shared" si="31"/>
        <v>15.8</v>
      </c>
      <c r="DX82" s="12" t="str">
        <f t="shared" si="23"/>
        <v>0.0001-1.708651i</v>
      </c>
      <c r="DY82" s="13" t="str">
        <f t="shared" si="17"/>
        <v>0.000000001</v>
      </c>
      <c r="DZ82" s="13" t="str">
        <f t="shared" si="30"/>
        <v>0.010799+17.061904i</v>
      </c>
      <c r="EA82" s="14" t="str">
        <f t="shared" si="24"/>
        <v>10.798674+0.0001i</v>
      </c>
      <c r="EC82" s="1" t="str">
        <f t="shared" si="25"/>
        <v>0.010799+17.061904i</v>
      </c>
      <c r="ED82" s="1" t="str">
        <f t="shared" si="26"/>
        <v>0.114909+184.24594i</v>
      </c>
      <c r="EE82" s="1" t="str">
        <f t="shared" si="27"/>
        <v>10.809473+17.062004i</v>
      </c>
      <c r="EF82" s="1" t="str">
        <f t="shared" si="28"/>
        <v>7.708777+4.877089i</v>
      </c>
      <c r="EG82" s="1" t="str">
        <f t="shared" si="29"/>
        <v>7.708877+3.168438i</v>
      </c>
      <c r="FN82" s="1">
        <f t="shared" si="15"/>
        <v>16.399999999999999</v>
      </c>
      <c r="FO82" s="1">
        <f t="shared" si="16"/>
        <v>8.4779885266533004</v>
      </c>
    </row>
    <row r="83" spans="2:174" ht="18" customHeight="1" x14ac:dyDescent="0.25">
      <c r="B83" s="6"/>
      <c r="C83" s="17"/>
      <c r="D83" s="17"/>
      <c r="E83" s="17"/>
      <c r="F83" s="17"/>
      <c r="G83" s="17"/>
      <c r="H83" s="17"/>
      <c r="I83" s="17"/>
      <c r="N83" s="17"/>
      <c r="O83" s="17"/>
      <c r="P83" s="17"/>
      <c r="Q83" s="17"/>
      <c r="R83" s="17"/>
      <c r="S83" s="17"/>
      <c r="T83" s="17"/>
      <c r="U83" s="17"/>
      <c r="V83" s="17"/>
      <c r="AA83" s="17"/>
      <c r="AB83" s="17"/>
      <c r="AC83" s="17"/>
      <c r="AD83" s="17"/>
      <c r="AE83" s="17"/>
      <c r="AF83" s="17"/>
      <c r="AG83" s="17"/>
      <c r="AH83" s="17"/>
      <c r="AI83" s="17"/>
      <c r="AJ83" s="17"/>
      <c r="AK83" s="17"/>
      <c r="AL83" s="17"/>
      <c r="AM83" s="17"/>
      <c r="AN83" s="17"/>
      <c r="AP83" s="8"/>
      <c r="AR83" s="6"/>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8"/>
      <c r="DW83" s="1">
        <f t="shared" si="31"/>
        <v>16</v>
      </c>
      <c r="DX83" s="12" t="str">
        <f t="shared" si="23"/>
        <v>0.0001-1.687293i</v>
      </c>
      <c r="DY83" s="13" t="str">
        <f t="shared" si="17"/>
        <v>0.000000001</v>
      </c>
      <c r="DZ83" s="13" t="str">
        <f t="shared" si="30"/>
        <v>0.010799+17.277878i</v>
      </c>
      <c r="EA83" s="14" t="str">
        <f t="shared" si="24"/>
        <v>10.798674+0.0001i</v>
      </c>
      <c r="EC83" s="1" t="str">
        <f t="shared" si="25"/>
        <v>0.010799+17.277878i</v>
      </c>
      <c r="ED83" s="1" t="str">
        <f t="shared" si="26"/>
        <v>0.114887+186.578173i</v>
      </c>
      <c r="EE83" s="1" t="str">
        <f t="shared" si="27"/>
        <v>10.809473+17.277978i</v>
      </c>
      <c r="EF83" s="1" t="str">
        <f t="shared" si="28"/>
        <v>7.763946+4.850642i</v>
      </c>
      <c r="EG83" s="1" t="str">
        <f t="shared" si="29"/>
        <v>7.764046+3.163349i</v>
      </c>
      <c r="FN83" s="1">
        <f t="shared" si="15"/>
        <v>16.600000000000001</v>
      </c>
      <c r="FO83" s="1">
        <f t="shared" si="16"/>
        <v>8.5231890877875056</v>
      </c>
    </row>
    <row r="84" spans="2:174" ht="18" customHeight="1" x14ac:dyDescent="0.25">
      <c r="B84" s="6"/>
      <c r="C84" s="17"/>
      <c r="D84" s="17"/>
      <c r="E84" s="17"/>
      <c r="F84" s="17"/>
      <c r="G84" s="17"/>
      <c r="H84" s="17"/>
      <c r="I84" s="17"/>
      <c r="N84" s="17"/>
      <c r="O84" s="17"/>
      <c r="P84" s="17"/>
      <c r="Q84" s="17"/>
      <c r="R84" s="17"/>
      <c r="S84" s="17"/>
      <c r="T84" s="17"/>
      <c r="U84" s="17"/>
      <c r="V84" s="17"/>
      <c r="AA84" s="17"/>
      <c r="AB84" s="17"/>
      <c r="AC84" s="17"/>
      <c r="AD84" s="17"/>
      <c r="AE84" s="17"/>
      <c r="AF84" s="17"/>
      <c r="AG84" s="17"/>
      <c r="AH84" s="17"/>
      <c r="AI84" s="17"/>
      <c r="AJ84" s="17"/>
      <c r="AK84" s="17"/>
      <c r="AL84" s="17"/>
      <c r="AM84" s="17"/>
      <c r="AN84" s="17"/>
      <c r="AP84" s="8"/>
      <c r="AR84" s="6"/>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8"/>
      <c r="DW84" s="1">
        <f t="shared" si="31"/>
        <v>16.2</v>
      </c>
      <c r="DX84" s="12" t="str">
        <f t="shared" si="23"/>
        <v>0.0001-1.666462i</v>
      </c>
      <c r="DY84" s="13" t="str">
        <f t="shared" si="17"/>
        <v>0.000000001</v>
      </c>
      <c r="DZ84" s="13" t="str">
        <f t="shared" si="30"/>
        <v>0.010799+17.493851i</v>
      </c>
      <c r="EA84" s="14" t="str">
        <f t="shared" si="24"/>
        <v>10.798674+0.0001i</v>
      </c>
      <c r="EC84" s="1" t="str">
        <f t="shared" si="25"/>
        <v>0.010799+17.493851i</v>
      </c>
      <c r="ED84" s="1" t="str">
        <f t="shared" si="26"/>
        <v>0.114865+188.910395i</v>
      </c>
      <c r="EE84" s="1" t="str">
        <f t="shared" si="27"/>
        <v>10.809473+17.493951i</v>
      </c>
      <c r="EF84" s="1" t="str">
        <f t="shared" si="28"/>
        <v>7.817838+4.824058i</v>
      </c>
      <c r="EG84" s="1" t="str">
        <f t="shared" si="29"/>
        <v>7.817938+3.157596i</v>
      </c>
      <c r="FN84" s="1">
        <f t="shared" si="15"/>
        <v>16.8</v>
      </c>
      <c r="FO84" s="1">
        <f t="shared" si="16"/>
        <v>8.5671651248239638</v>
      </c>
    </row>
    <row r="85" spans="2:174" ht="18" customHeight="1" x14ac:dyDescent="0.25">
      <c r="B85" s="6"/>
      <c r="C85" s="17"/>
      <c r="D85" s="17"/>
      <c r="E85" s="17"/>
      <c r="F85" s="17"/>
      <c r="G85" s="17"/>
      <c r="H85" s="17"/>
      <c r="I85" s="17"/>
      <c r="N85" s="17"/>
      <c r="O85" s="17"/>
      <c r="P85" s="17"/>
      <c r="Q85" s="17"/>
      <c r="R85" s="17"/>
      <c r="S85" s="17"/>
      <c r="T85" s="17"/>
      <c r="U85" s="17"/>
      <c r="V85" s="17"/>
      <c r="AA85" s="17"/>
      <c r="AB85" s="17"/>
      <c r="AC85" s="17"/>
      <c r="AD85" s="17"/>
      <c r="AE85" s="17"/>
      <c r="AF85" s="17"/>
      <c r="AG85" s="17"/>
      <c r="AH85" s="17"/>
      <c r="AI85" s="17"/>
      <c r="AJ85" s="17"/>
      <c r="AK85" s="17"/>
      <c r="AL85" s="17"/>
      <c r="AM85" s="17"/>
      <c r="AN85" s="17"/>
      <c r="AP85" s="8"/>
      <c r="AR85" s="6"/>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8"/>
      <c r="DW85" s="1">
        <f t="shared" si="31"/>
        <v>16.399999999999999</v>
      </c>
      <c r="DX85" s="12" t="str">
        <f t="shared" si="23"/>
        <v>0.0001-1.646139i</v>
      </c>
      <c r="DY85" s="13" t="str">
        <f t="shared" si="17"/>
        <v>0.000000001</v>
      </c>
      <c r="DZ85" s="13" t="str">
        <f t="shared" si="30"/>
        <v>0.010799+17.709825i</v>
      </c>
      <c r="EA85" s="14" t="str">
        <f t="shared" si="24"/>
        <v>10.798674+0.0001i</v>
      </c>
      <c r="EC85" s="1" t="str">
        <f t="shared" si="25"/>
        <v>0.010799+17.709825i</v>
      </c>
      <c r="ED85" s="1" t="str">
        <f t="shared" si="26"/>
        <v>0.114844+191.242628i</v>
      </c>
      <c r="EE85" s="1" t="str">
        <f t="shared" si="27"/>
        <v>10.809473+17.709925i</v>
      </c>
      <c r="EF85" s="1" t="str">
        <f t="shared" si="28"/>
        <v>7.870483+4.797363i</v>
      </c>
      <c r="EG85" s="1" t="str">
        <f t="shared" si="29"/>
        <v>7.870583+3.151224i</v>
      </c>
      <c r="FN85" s="1">
        <f t="shared" si="15"/>
        <v>17</v>
      </c>
      <c r="FO85" s="1">
        <f t="shared" si="16"/>
        <v>8.6099593220197033</v>
      </c>
    </row>
    <row r="86" spans="2:174" ht="18" customHeight="1" x14ac:dyDescent="0.25">
      <c r="B86" s="6"/>
      <c r="C86" s="17"/>
      <c r="D86" s="17"/>
      <c r="E86" s="17"/>
      <c r="F86" s="17"/>
      <c r="G86" s="17"/>
      <c r="H86" s="17"/>
      <c r="I86" s="17"/>
      <c r="J86" s="17"/>
      <c r="K86" s="17"/>
      <c r="L86" s="17"/>
      <c r="M86" s="17"/>
      <c r="N86" s="17"/>
      <c r="O86" s="17"/>
      <c r="P86" s="17"/>
      <c r="Q86" s="17"/>
      <c r="R86" s="17"/>
      <c r="S86" s="17"/>
      <c r="T86" s="17"/>
      <c r="U86" s="17"/>
      <c r="V86" s="17"/>
      <c r="AA86" s="17"/>
      <c r="AB86" s="17"/>
      <c r="AC86" s="17"/>
      <c r="AD86" s="17"/>
      <c r="AE86" s="17"/>
      <c r="AF86" s="17"/>
      <c r="AG86" s="17"/>
      <c r="AH86" s="17"/>
      <c r="AI86" s="17"/>
      <c r="AJ86" s="17"/>
      <c r="AK86" s="17"/>
      <c r="AL86" s="17"/>
      <c r="AM86" s="17"/>
      <c r="AN86" s="17"/>
      <c r="AP86" s="8"/>
      <c r="AR86" s="6"/>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8"/>
      <c r="DW86" s="1">
        <f t="shared" si="31"/>
        <v>16.600000000000001</v>
      </c>
      <c r="DX86" s="12" t="str">
        <f t="shared" si="23"/>
        <v>0.0001-1.626306i</v>
      </c>
      <c r="DY86" s="13" t="str">
        <f t="shared" si="17"/>
        <v>0.000000001</v>
      </c>
      <c r="DZ86" s="13" t="str">
        <f t="shared" si="30"/>
        <v>0.010799+17.925798i</v>
      </c>
      <c r="EA86" s="14" t="str">
        <f t="shared" si="24"/>
        <v>10.798674+0.0001i</v>
      </c>
      <c r="EC86" s="1" t="str">
        <f t="shared" si="25"/>
        <v>0.010799+17.925798i</v>
      </c>
      <c r="ED86" s="1" t="str">
        <f t="shared" si="26"/>
        <v>0.114822+193.57485i</v>
      </c>
      <c r="EE86" s="1" t="str">
        <f t="shared" si="27"/>
        <v>10.809473+17.925898i</v>
      </c>
      <c r="EF86" s="1" t="str">
        <f t="shared" si="28"/>
        <v>7.921914+4.770578i</v>
      </c>
      <c r="EG86" s="1" t="str">
        <f t="shared" si="29"/>
        <v>7.922014+3.144272i</v>
      </c>
      <c r="FN86" s="1">
        <f t="shared" si="15"/>
        <v>17.2</v>
      </c>
      <c r="FO86" s="1">
        <f t="shared" si="16"/>
        <v>8.6516090008414626</v>
      </c>
    </row>
    <row r="87" spans="2:174" ht="18" customHeight="1" x14ac:dyDescent="0.25">
      <c r="B87" s="6"/>
      <c r="C87" s="17"/>
      <c r="D87" s="17"/>
      <c r="E87" s="17"/>
      <c r="F87" s="17"/>
      <c r="G87" s="17"/>
      <c r="H87" s="17"/>
      <c r="I87" s="17"/>
      <c r="J87" s="17"/>
      <c r="K87" s="17"/>
      <c r="L87" s="17"/>
      <c r="M87" s="17"/>
      <c r="N87" s="17"/>
      <c r="O87" s="17"/>
      <c r="P87" s="17"/>
      <c r="Q87" s="17"/>
      <c r="R87" s="17"/>
      <c r="S87" s="17"/>
      <c r="T87" s="17"/>
      <c r="U87" s="17"/>
      <c r="V87" s="17"/>
      <c r="AA87" s="17"/>
      <c r="AB87" s="17"/>
      <c r="AC87" s="17"/>
      <c r="AD87" s="17"/>
      <c r="AE87" s="17"/>
      <c r="AF87" s="17"/>
      <c r="AG87" s="17"/>
      <c r="AH87" s="17"/>
      <c r="AI87" s="17"/>
      <c r="AJ87" s="17"/>
      <c r="AK87" s="17"/>
      <c r="AL87" s="17"/>
      <c r="AM87" s="17"/>
      <c r="AN87" s="17"/>
      <c r="AP87" s="8"/>
      <c r="AR87" s="6"/>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8"/>
      <c r="DW87" s="1">
        <f t="shared" si="31"/>
        <v>16.8</v>
      </c>
      <c r="DX87" s="12" t="str">
        <f t="shared" si="23"/>
        <v>0.0001-1.606945i</v>
      </c>
      <c r="DY87" s="13" t="str">
        <f t="shared" si="17"/>
        <v>0.000000001</v>
      </c>
      <c r="DZ87" s="13" t="str">
        <f t="shared" si="30"/>
        <v>0.010799+18.141772i</v>
      </c>
      <c r="EA87" s="14" t="str">
        <f t="shared" si="24"/>
        <v>10.798674+0.0001i</v>
      </c>
      <c r="EC87" s="1" t="str">
        <f t="shared" si="25"/>
        <v>0.010799+18.141772i</v>
      </c>
      <c r="ED87" s="1" t="str">
        <f t="shared" si="26"/>
        <v>0.114801+195.907083i</v>
      </c>
      <c r="EE87" s="1" t="str">
        <f t="shared" si="27"/>
        <v>10.809473+18.141872i</v>
      </c>
      <c r="EF87" s="1" t="str">
        <f t="shared" si="28"/>
        <v>7.97216+4.743725i</v>
      </c>
      <c r="EG87" s="1" t="str">
        <f t="shared" si="29"/>
        <v>7.97226+3.13678i</v>
      </c>
      <c r="FN87" s="1">
        <f t="shared" si="15"/>
        <v>17.399999999999999</v>
      </c>
      <c r="FO87" s="1">
        <f t="shared" si="16"/>
        <v>8.6921520348682346</v>
      </c>
    </row>
    <row r="88" spans="2:174" ht="18" customHeight="1" x14ac:dyDescent="0.25">
      <c r="B88" s="6"/>
      <c r="C88" s="17"/>
      <c r="D88" s="17"/>
      <c r="E88" s="17"/>
      <c r="F88" s="17"/>
      <c r="G88" s="17"/>
      <c r="H88" s="17"/>
      <c r="I88" s="17"/>
      <c r="J88" s="17"/>
      <c r="K88" s="17"/>
      <c r="L88" s="17"/>
      <c r="M88" s="17"/>
      <c r="N88" s="17"/>
      <c r="O88" s="17"/>
      <c r="P88" s="17"/>
      <c r="Q88" s="17"/>
      <c r="R88" s="17"/>
      <c r="S88" s="17"/>
      <c r="T88" s="17"/>
      <c r="U88" s="17"/>
      <c r="V88" s="17"/>
      <c r="AA88" s="17"/>
      <c r="AB88" s="17"/>
      <c r="AC88" s="17"/>
      <c r="AD88" s="17"/>
      <c r="AE88" s="17"/>
      <c r="AF88" s="17"/>
      <c r="AG88" s="17"/>
      <c r="AH88" s="17"/>
      <c r="AI88" s="17"/>
      <c r="AJ88" s="17"/>
      <c r="AK88" s="17"/>
      <c r="AL88" s="17"/>
      <c r="AM88" s="17"/>
      <c r="AN88" s="17"/>
      <c r="AP88" s="8"/>
      <c r="AR88" s="6"/>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8"/>
      <c r="DW88" s="1">
        <f t="shared" si="31"/>
        <v>17</v>
      </c>
      <c r="DX88" s="12" t="str">
        <f t="shared" si="23"/>
        <v>0.0001-1.58804i</v>
      </c>
      <c r="DY88" s="13" t="str">
        <f t="shared" si="17"/>
        <v>0.000000001</v>
      </c>
      <c r="DZ88" s="13" t="str">
        <f t="shared" si="30"/>
        <v>0.010799+18.357745i</v>
      </c>
      <c r="EA88" s="14" t="str">
        <f t="shared" si="24"/>
        <v>10.798674+0.0001i</v>
      </c>
      <c r="EC88" s="1" t="str">
        <f t="shared" si="25"/>
        <v>0.010799+18.357745i</v>
      </c>
      <c r="ED88" s="1" t="str">
        <f t="shared" si="26"/>
        <v>0.114779+198.239305i</v>
      </c>
      <c r="EE88" s="1" t="str">
        <f t="shared" si="27"/>
        <v>10.809473+18.357845i</v>
      </c>
      <c r="EF88" s="1" t="str">
        <f t="shared" si="28"/>
        <v>8.021253+4.716825i</v>
      </c>
      <c r="EG88" s="1" t="str">
        <f t="shared" si="29"/>
        <v>8.021353+3.128785i</v>
      </c>
      <c r="FN88" s="1">
        <f t="shared" si="15"/>
        <v>17.600000000000001</v>
      </c>
      <c r="FO88" s="1">
        <f t="shared" si="16"/>
        <v>8.7316262046219659</v>
      </c>
    </row>
    <row r="89" spans="2:174" ht="18" customHeight="1" x14ac:dyDescent="0.25">
      <c r="B89" s="6"/>
      <c r="C89" s="17"/>
      <c r="D89" s="17"/>
      <c r="E89" s="17"/>
      <c r="F89" s="17"/>
      <c r="G89" s="17"/>
      <c r="H89" s="17"/>
      <c r="I89" s="17"/>
      <c r="J89" s="17"/>
      <c r="K89" s="17"/>
      <c r="L89" s="17"/>
      <c r="M89" s="17"/>
      <c r="N89" s="17"/>
      <c r="O89" s="17"/>
      <c r="P89" s="17"/>
      <c r="Q89" s="17"/>
      <c r="R89" s="17"/>
      <c r="S89" s="17"/>
      <c r="T89" s="17"/>
      <c r="U89" s="17"/>
      <c r="V89" s="17"/>
      <c r="AA89" s="17"/>
      <c r="AB89" s="17"/>
      <c r="AC89" s="17"/>
      <c r="AD89" s="17"/>
      <c r="AE89" s="17"/>
      <c r="AF89" s="17"/>
      <c r="AG89" s="17"/>
      <c r="AH89" s="17"/>
      <c r="AI89" s="17"/>
      <c r="AJ89" s="17"/>
      <c r="AK89" s="17"/>
      <c r="AL89" s="17"/>
      <c r="AM89" s="17"/>
      <c r="AN89" s="17"/>
      <c r="AP89" s="8"/>
      <c r="AR89" s="6"/>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8"/>
      <c r="DW89" s="1">
        <f t="shared" si="31"/>
        <v>17.2</v>
      </c>
      <c r="DX89" s="12" t="str">
        <f t="shared" si="23"/>
        <v>0.0001-1.569575i</v>
      </c>
      <c r="DY89" s="13" t="str">
        <f t="shared" si="17"/>
        <v>0.000000001</v>
      </c>
      <c r="DZ89" s="13" t="str">
        <f t="shared" si="30"/>
        <v>0.010799+18.573719i</v>
      </c>
      <c r="EA89" s="14" t="str">
        <f t="shared" si="24"/>
        <v>10.798674+0.0001i</v>
      </c>
      <c r="EC89" s="1" t="str">
        <f t="shared" si="25"/>
        <v>0.010799+18.573719i</v>
      </c>
      <c r="ED89" s="1" t="str">
        <f t="shared" si="26"/>
        <v>0.114758+200.571538i</v>
      </c>
      <c r="EE89" s="1" t="str">
        <f t="shared" si="27"/>
        <v>10.809473+18.573819i</v>
      </c>
      <c r="EF89" s="1" t="str">
        <f t="shared" si="28"/>
        <v>8.069221+4.689895i</v>
      </c>
      <c r="EG89" s="1" t="str">
        <f t="shared" si="29"/>
        <v>8.069321+3.12032i</v>
      </c>
      <c r="FN89" s="1">
        <f t="shared" si="15"/>
        <v>17.8</v>
      </c>
      <c r="FO89" s="1">
        <f t="shared" si="16"/>
        <v>8.7700641340254766</v>
      </c>
    </row>
    <row r="90" spans="2:174" ht="18" customHeight="1" x14ac:dyDescent="0.25">
      <c r="B90" s="6"/>
      <c r="C90" s="17"/>
      <c r="D90" s="17"/>
      <c r="E90" s="17"/>
      <c r="F90" s="17"/>
      <c r="G90" s="17"/>
      <c r="H90" s="17"/>
      <c r="I90" s="17"/>
      <c r="J90" s="17"/>
      <c r="K90" s="17"/>
      <c r="L90" s="17"/>
      <c r="M90" s="17"/>
      <c r="N90" s="17"/>
      <c r="O90" s="17"/>
      <c r="P90" s="17"/>
      <c r="Q90" s="17"/>
      <c r="R90" s="17"/>
      <c r="S90" s="17"/>
      <c r="T90" s="17"/>
      <c r="U90" s="17"/>
      <c r="V90" s="17"/>
      <c r="AA90" s="17"/>
      <c r="AB90" s="17"/>
      <c r="AC90" s="17"/>
      <c r="AD90" s="17"/>
      <c r="AE90" s="17"/>
      <c r="AF90" s="17"/>
      <c r="AG90" s="17"/>
      <c r="AH90" s="17"/>
      <c r="AI90" s="17"/>
      <c r="AJ90" s="17"/>
      <c r="AK90" s="17"/>
      <c r="AL90" s="17"/>
      <c r="AM90" s="17"/>
      <c r="AN90" s="17"/>
      <c r="AP90" s="8"/>
      <c r="AR90" s="6"/>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8"/>
      <c r="DW90" s="1">
        <f t="shared" si="31"/>
        <v>17.399999999999999</v>
      </c>
      <c r="DX90" s="12" t="str">
        <f t="shared" si="23"/>
        <v>0.0001-1.551534i</v>
      </c>
      <c r="DY90" s="13" t="str">
        <f t="shared" si="17"/>
        <v>0.000000001</v>
      </c>
      <c r="DZ90" s="13" t="str">
        <f t="shared" si="30"/>
        <v>0.010799+18.789692i</v>
      </c>
      <c r="EA90" s="14" t="str">
        <f t="shared" si="24"/>
        <v>10.798674+0.0001i</v>
      </c>
      <c r="EC90" s="1" t="str">
        <f t="shared" si="25"/>
        <v>0.010799+18.789692i</v>
      </c>
      <c r="ED90" s="1" t="str">
        <f t="shared" si="26"/>
        <v>0.114736+202.90376i</v>
      </c>
      <c r="EE90" s="1" t="str">
        <f t="shared" si="27"/>
        <v>10.809473+18.789792i</v>
      </c>
      <c r="EF90" s="1" t="str">
        <f t="shared" si="28"/>
        <v>8.116092+4.662954i</v>
      </c>
      <c r="EG90" s="1" t="str">
        <f t="shared" si="29"/>
        <v>8.116192+3.11142i</v>
      </c>
      <c r="FN90" s="1">
        <f t="shared" si="15"/>
        <v>18</v>
      </c>
      <c r="FO90" s="1">
        <f t="shared" si="16"/>
        <v>8.8075026450231046</v>
      </c>
    </row>
    <row r="91" spans="2:174" ht="18" customHeight="1" x14ac:dyDescent="0.25">
      <c r="B91" s="6"/>
      <c r="C91" s="17"/>
      <c r="D91" s="17"/>
      <c r="E91" s="17"/>
      <c r="F91" s="17"/>
      <c r="G91" s="17"/>
      <c r="H91" s="17"/>
      <c r="I91" s="17"/>
      <c r="J91" s="17"/>
      <c r="K91" s="17"/>
      <c r="L91" s="17"/>
      <c r="M91" s="17"/>
      <c r="N91" s="17"/>
      <c r="O91" s="17"/>
      <c r="P91" s="17"/>
      <c r="Q91" s="17"/>
      <c r="R91" s="17"/>
      <c r="S91" s="17"/>
      <c r="T91" s="17"/>
      <c r="U91" s="17"/>
      <c r="V91" s="17"/>
      <c r="AA91" s="17"/>
      <c r="AB91" s="17"/>
      <c r="AC91" s="17"/>
      <c r="AD91" s="17"/>
      <c r="AE91" s="17"/>
      <c r="AF91" s="17"/>
      <c r="AG91" s="17"/>
      <c r="AH91" s="17"/>
      <c r="AI91" s="17"/>
      <c r="AJ91" s="17"/>
      <c r="AK91" s="17"/>
      <c r="AL91" s="17"/>
      <c r="AM91" s="17"/>
      <c r="AN91" s="17"/>
      <c r="AP91" s="8"/>
      <c r="AR91" s="6"/>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8"/>
      <c r="DW91" s="1">
        <f t="shared" si="31"/>
        <v>17.600000000000001</v>
      </c>
      <c r="DX91" s="12" t="str">
        <f t="shared" si="23"/>
        <v>0.0001-1.533903i</v>
      </c>
      <c r="DY91" s="13" t="str">
        <f t="shared" si="17"/>
        <v>0.000000001</v>
      </c>
      <c r="DZ91" s="13" t="str">
        <f t="shared" si="30"/>
        <v>0.010799+19.005666i</v>
      </c>
      <c r="EA91" s="14" t="str">
        <f t="shared" si="24"/>
        <v>10.798674+0.0001i</v>
      </c>
      <c r="EC91" s="1" t="str">
        <f t="shared" si="25"/>
        <v>0.010799+19.005666i</v>
      </c>
      <c r="ED91" s="1" t="str">
        <f t="shared" si="26"/>
        <v>0.114714+205.235992i</v>
      </c>
      <c r="EE91" s="1" t="str">
        <f t="shared" si="27"/>
        <v>10.809473+19.005766i</v>
      </c>
      <c r="EF91" s="1" t="str">
        <f t="shared" si="28"/>
        <v>8.161896+4.636018i</v>
      </c>
      <c r="EG91" s="1" t="str">
        <f t="shared" si="29"/>
        <v>8.161996+3.102115i</v>
      </c>
      <c r="FN91" s="1">
        <f t="shared" si="15"/>
        <v>18.2</v>
      </c>
      <c r="FO91" s="1">
        <f t="shared" si="16"/>
        <v>8.8439708469199516</v>
      </c>
    </row>
    <row r="92" spans="2:174" ht="18" customHeight="1" x14ac:dyDescent="0.25">
      <c r="B92" s="6"/>
      <c r="C92" s="17"/>
      <c r="D92" s="17"/>
      <c r="E92" s="17"/>
      <c r="F92" s="17"/>
      <c r="G92" s="17"/>
      <c r="H92" s="17"/>
      <c r="I92" s="17"/>
      <c r="J92" s="17"/>
      <c r="K92" s="17"/>
      <c r="L92" s="17"/>
      <c r="M92" s="17"/>
      <c r="N92" s="17"/>
      <c r="O92" s="17"/>
      <c r="P92" s="17"/>
      <c r="Q92" s="17"/>
      <c r="R92" s="17"/>
      <c r="S92" s="17"/>
      <c r="T92" s="17"/>
      <c r="U92" s="17"/>
      <c r="V92" s="17"/>
      <c r="AA92" s="17"/>
      <c r="AB92" s="17"/>
      <c r="AC92" s="17"/>
      <c r="AD92" s="17"/>
      <c r="AE92" s="17"/>
      <c r="AF92" s="17"/>
      <c r="AG92" s="17"/>
      <c r="AH92" s="17"/>
      <c r="AI92" s="17"/>
      <c r="AJ92" s="17"/>
      <c r="AK92" s="17"/>
      <c r="AL92" s="17"/>
      <c r="AM92" s="17"/>
      <c r="AN92" s="17"/>
      <c r="AP92" s="8"/>
      <c r="AR92" s="6"/>
      <c r="CF92" s="8"/>
      <c r="DW92" s="1">
        <f t="shared" si="31"/>
        <v>17.8</v>
      </c>
      <c r="DX92" s="12" t="str">
        <f t="shared" si="23"/>
        <v>0.0001-1.516668i</v>
      </c>
      <c r="DY92" s="13" t="str">
        <f t="shared" si="17"/>
        <v>0.000000001</v>
      </c>
      <c r="DZ92" s="13" t="str">
        <f t="shared" si="30"/>
        <v>0.010799+19.221639i</v>
      </c>
      <c r="EA92" s="14" t="str">
        <f t="shared" si="24"/>
        <v>10.798674+0.0001i</v>
      </c>
      <c r="EC92" s="1" t="str">
        <f t="shared" si="25"/>
        <v>0.010799+19.221639i</v>
      </c>
      <c r="ED92" s="1" t="str">
        <f t="shared" si="26"/>
        <v>0.114693+207.568214i</v>
      </c>
      <c r="EE92" s="1" t="str">
        <f t="shared" si="27"/>
        <v>10.809473+19.221739i</v>
      </c>
      <c r="EF92" s="1" t="str">
        <f t="shared" si="28"/>
        <v>8.206658+4.609102i</v>
      </c>
      <c r="EG92" s="1" t="str">
        <f t="shared" si="29"/>
        <v>8.206758+3.092434i</v>
      </c>
      <c r="FN92" s="1">
        <f t="shared" si="15"/>
        <v>18.399999999999999</v>
      </c>
      <c r="FO92" s="1">
        <f t="shared" si="16"/>
        <v>8.8795008107114342</v>
      </c>
      <c r="FR92" s="53"/>
    </row>
    <row r="93" spans="2:174" ht="18" customHeight="1" x14ac:dyDescent="0.25">
      <c r="B93" s="6"/>
      <c r="C93" s="17"/>
      <c r="D93" s="17"/>
      <c r="E93" s="17"/>
      <c r="F93" s="17"/>
      <c r="G93" s="17"/>
      <c r="H93" s="17"/>
      <c r="I93" s="17"/>
      <c r="J93" s="17"/>
      <c r="K93" s="17"/>
      <c r="L93" s="17"/>
      <c r="M93" s="17"/>
      <c r="N93" s="17"/>
      <c r="O93" s="17"/>
      <c r="P93" s="17"/>
      <c r="Q93" s="17"/>
      <c r="R93" s="17"/>
      <c r="S93" s="17"/>
      <c r="T93" s="17"/>
      <c r="U93" s="17"/>
      <c r="V93" s="17"/>
      <c r="AA93" s="17"/>
      <c r="AB93" s="17"/>
      <c r="AC93" s="17"/>
      <c r="AD93" s="17"/>
      <c r="AE93" s="17"/>
      <c r="AF93" s="17"/>
      <c r="AG93" s="17"/>
      <c r="AH93" s="17"/>
      <c r="AI93" s="17"/>
      <c r="AJ93" s="17"/>
      <c r="AK93" s="17"/>
      <c r="AL93" s="17"/>
      <c r="AM93" s="17"/>
      <c r="AN93" s="17"/>
      <c r="AP93" s="8"/>
      <c r="AR93" s="6"/>
      <c r="CF93" s="8"/>
      <c r="DW93" s="1">
        <f t="shared" si="31"/>
        <v>18</v>
      </c>
      <c r="DX93" s="12" t="str">
        <f t="shared" si="23"/>
        <v>0.0001-1.499816i</v>
      </c>
      <c r="DY93" s="13" t="str">
        <f t="shared" si="17"/>
        <v>0.000000001</v>
      </c>
      <c r="DZ93" s="13" t="str">
        <f t="shared" si="30"/>
        <v>0.010799+19.437613i</v>
      </c>
      <c r="EA93" s="14" t="str">
        <f t="shared" si="24"/>
        <v>10.798674+0.0001i</v>
      </c>
      <c r="EC93" s="1" t="str">
        <f t="shared" si="25"/>
        <v>0.010799+19.437613i</v>
      </c>
      <c r="ED93" s="1" t="str">
        <f t="shared" si="26"/>
        <v>0.114671+209.900447i</v>
      </c>
      <c r="EE93" s="1" t="str">
        <f t="shared" si="27"/>
        <v>10.809473+19.437713i</v>
      </c>
      <c r="EF93" s="1" t="str">
        <f t="shared" si="28"/>
        <v>8.250408+4.582221i</v>
      </c>
      <c r="EG93" s="1" t="str">
        <f t="shared" si="29"/>
        <v>8.250508+3.082405i</v>
      </c>
      <c r="FN93" s="1">
        <f t="shared" si="15"/>
        <v>18.600000000000001</v>
      </c>
      <c r="FO93" s="1">
        <f t="shared" si="16"/>
        <v>8.9141236860683613</v>
      </c>
      <c r="FR93" s="53"/>
    </row>
    <row r="94" spans="2:174" ht="18" customHeight="1" x14ac:dyDescent="0.25">
      <c r="B94" s="6"/>
      <c r="AP94" s="8"/>
      <c r="AR94" s="6"/>
      <c r="CF94" s="8"/>
      <c r="DW94" s="1">
        <f t="shared" si="31"/>
        <v>18.2</v>
      </c>
      <c r="DX94" s="12" t="str">
        <f t="shared" si="23"/>
        <v>0.0001-1.483334i</v>
      </c>
      <c r="DY94" s="13" t="str">
        <f t="shared" si="17"/>
        <v>0.000000001</v>
      </c>
      <c r="DZ94" s="13" t="str">
        <f t="shared" si="30"/>
        <v>0.010799+19.653586i</v>
      </c>
      <c r="EA94" s="14" t="str">
        <f t="shared" si="24"/>
        <v>10.798674+0.0001i</v>
      </c>
      <c r="EC94" s="1" t="str">
        <f t="shared" si="25"/>
        <v>0.010799+19.653586i</v>
      </c>
      <c r="ED94" s="1" t="str">
        <f t="shared" si="26"/>
        <v>0.11465+212.232669i</v>
      </c>
      <c r="EE94" s="1" t="str">
        <f t="shared" si="27"/>
        <v>10.809473+19.653686i</v>
      </c>
      <c r="EF94" s="1" t="str">
        <f t="shared" si="28"/>
        <v>8.293169+4.555387i</v>
      </c>
      <c r="EG94" s="1" t="str">
        <f t="shared" si="29"/>
        <v>8.293269+3.072053i</v>
      </c>
      <c r="FN94" s="1">
        <f t="shared" si="15"/>
        <v>18.8</v>
      </c>
      <c r="FO94" s="1">
        <f t="shared" si="16"/>
        <v>8.9478675358806026</v>
      </c>
      <c r="FR94" s="53"/>
    </row>
    <row r="95" spans="2:174" ht="18" customHeight="1" x14ac:dyDescent="0.25">
      <c r="B95" s="6"/>
      <c r="AP95" s="8"/>
      <c r="AR95" s="6"/>
      <c r="CF95" s="8"/>
      <c r="DW95" s="1">
        <f t="shared" si="31"/>
        <v>18.399999999999999</v>
      </c>
      <c r="DX95" s="12" t="str">
        <f t="shared" si="23"/>
        <v>0.0001-1.467211i</v>
      </c>
      <c r="DY95" s="13" t="str">
        <f t="shared" si="17"/>
        <v>0.000000001</v>
      </c>
      <c r="DZ95" s="13" t="str">
        <f t="shared" si="30"/>
        <v>0.010799+19.869559i</v>
      </c>
      <c r="EA95" s="14" t="str">
        <f t="shared" si="24"/>
        <v>10.798674+0.0001i</v>
      </c>
      <c r="EC95" s="1" t="str">
        <f t="shared" si="25"/>
        <v>0.010799+19.869559i</v>
      </c>
      <c r="ED95" s="1" t="str">
        <f t="shared" si="26"/>
        <v>0.114628+214.564891i</v>
      </c>
      <c r="EE95" s="1" t="str">
        <f t="shared" si="27"/>
        <v>10.809473+19.869659i</v>
      </c>
      <c r="EF95" s="1" t="str">
        <f t="shared" si="28"/>
        <v>8.334968+4.528612i</v>
      </c>
      <c r="EG95" s="1" t="str">
        <f t="shared" si="29"/>
        <v>8.335068+3.061401i</v>
      </c>
      <c r="FN95" s="1">
        <f t="shared" si="15"/>
        <v>19</v>
      </c>
      <c r="FO95" s="1">
        <f t="shared" si="16"/>
        <v>8.9807607082944259</v>
      </c>
      <c r="FR95" s="53"/>
    </row>
    <row r="96" spans="2:174" ht="18" customHeight="1" thickBot="1" x14ac:dyDescent="0.3">
      <c r="B96" s="6"/>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1"/>
      <c r="AO96" s="10"/>
      <c r="AP96" s="8"/>
      <c r="AR96" s="6"/>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1"/>
      <c r="CE96" s="10"/>
      <c r="CF96" s="8"/>
      <c r="DW96" s="1">
        <f t="shared" si="31"/>
        <v>18.600000000000001</v>
      </c>
      <c r="DX96" s="12" t="str">
        <f t="shared" si="23"/>
        <v>0.0001-1.451435i</v>
      </c>
      <c r="DY96" s="13" t="str">
        <f t="shared" si="17"/>
        <v>0.000000001</v>
      </c>
      <c r="DZ96" s="13" t="str">
        <f t="shared" si="30"/>
        <v>0.010799+20.085533i</v>
      </c>
      <c r="EA96" s="14" t="str">
        <f t="shared" si="24"/>
        <v>10.798674+0.0001i</v>
      </c>
      <c r="EC96" s="1" t="str">
        <f t="shared" si="25"/>
        <v>0.010799+20.085533i</v>
      </c>
      <c r="ED96" s="1" t="str">
        <f t="shared" si="26"/>
        <v>0.114606+216.897124i</v>
      </c>
      <c r="EE96" s="1" t="str">
        <f t="shared" si="27"/>
        <v>10.809473+20.085633i</v>
      </c>
      <c r="EF96" s="1" t="str">
        <f t="shared" si="28"/>
        <v>8.37583+4.50191i</v>
      </c>
      <c r="EG96" s="1" t="str">
        <f t="shared" si="29"/>
        <v>8.37593+3.050475i</v>
      </c>
      <c r="FN96" s="1">
        <f t="shared" si="15"/>
        <v>19.2</v>
      </c>
      <c r="FO96" s="1">
        <f t="shared" si="16"/>
        <v>9.0128289340500061</v>
      </c>
      <c r="FR96" s="53"/>
    </row>
    <row r="97" spans="2:174" ht="18" customHeight="1" x14ac:dyDescent="0.25">
      <c r="B97" s="6"/>
      <c r="D97" s="44" t="s">
        <v>94</v>
      </c>
      <c r="AO97" s="29" t="s">
        <v>109</v>
      </c>
      <c r="AP97" s="8"/>
      <c r="AR97" s="6"/>
      <c r="AT97" s="44" t="s">
        <v>94</v>
      </c>
      <c r="CE97" s="29" t="s">
        <v>110</v>
      </c>
      <c r="CF97" s="8"/>
      <c r="DW97" s="1">
        <f t="shared" si="31"/>
        <v>18.8</v>
      </c>
      <c r="DX97" s="12" t="str">
        <f t="shared" si="23"/>
        <v>0.0001-1.435994i</v>
      </c>
      <c r="DY97" s="13" t="str">
        <f t="shared" si="17"/>
        <v>0.000000001</v>
      </c>
      <c r="DZ97" s="13" t="str">
        <f t="shared" si="30"/>
        <v>0.010799+20.301506i</v>
      </c>
      <c r="EA97" s="14" t="str">
        <f t="shared" si="24"/>
        <v>10.798674+0.0001i</v>
      </c>
      <c r="EC97" s="1" t="str">
        <f t="shared" si="25"/>
        <v>0.010799+20.301506i</v>
      </c>
      <c r="ED97" s="1" t="str">
        <f t="shared" si="26"/>
        <v>0.114585+219.229346i</v>
      </c>
      <c r="EE97" s="1" t="str">
        <f t="shared" si="27"/>
        <v>10.809473+20.301606i</v>
      </c>
      <c r="EF97" s="1" t="str">
        <f t="shared" si="28"/>
        <v>8.415779+4.475289i</v>
      </c>
      <c r="EG97" s="1" t="str">
        <f t="shared" si="29"/>
        <v>8.415879+3.039295i</v>
      </c>
      <c r="FN97" s="1">
        <f t="shared" si="15"/>
        <v>19.399999999999999</v>
      </c>
      <c r="FO97" s="1">
        <f t="shared" si="16"/>
        <v>9.0440981709135606</v>
      </c>
      <c r="FR97" s="53"/>
    </row>
    <row r="98" spans="2:174" ht="18" customHeight="1" x14ac:dyDescent="0.25">
      <c r="B98" s="46"/>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8"/>
      <c r="AR98" s="46"/>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8"/>
      <c r="DW98" s="1">
        <f t="shared" si="31"/>
        <v>19</v>
      </c>
      <c r="DX98" s="12" t="str">
        <f t="shared" si="23"/>
        <v>0.0001-1.420878i</v>
      </c>
      <c r="DY98" s="13" t="str">
        <f t="shared" si="17"/>
        <v>0.000000001</v>
      </c>
      <c r="DZ98" s="13" t="str">
        <f t="shared" si="30"/>
        <v>0.010799+20.51748i</v>
      </c>
      <c r="EA98" s="14" t="str">
        <f t="shared" si="24"/>
        <v>10.798674+0.0001i</v>
      </c>
      <c r="EC98" s="1" t="str">
        <f t="shared" si="25"/>
        <v>0.010799+20.51748i</v>
      </c>
      <c r="ED98" s="1" t="str">
        <f t="shared" si="26"/>
        <v>0.114563+221.561579i</v>
      </c>
      <c r="EE98" s="1" t="str">
        <f t="shared" si="27"/>
        <v>10.809473+20.51758i</v>
      </c>
      <c r="EF98" s="1" t="str">
        <f t="shared" si="28"/>
        <v>8.454839+4.44876i</v>
      </c>
      <c r="EG98" s="1" t="str">
        <f t="shared" si="29"/>
        <v>8.454939+3.027882i</v>
      </c>
      <c r="FN98" s="1">
        <f t="shared" si="15"/>
        <v>19.600000000000001</v>
      </c>
      <c r="FO98" s="1">
        <f t="shared" si="16"/>
        <v>9.0745943918703063</v>
      </c>
      <c r="FR98" s="53"/>
    </row>
    <row r="99" spans="2:174" ht="18" customHeight="1" x14ac:dyDescent="0.25">
      <c r="DW99" s="1">
        <f t="shared" si="31"/>
        <v>19.2</v>
      </c>
      <c r="DX99" s="12" t="str">
        <f t="shared" si="23"/>
        <v>0.0001-1.406077i</v>
      </c>
      <c r="DY99" s="13" t="str">
        <f t="shared" si="17"/>
        <v>0.000000001</v>
      </c>
      <c r="DZ99" s="13" t="str">
        <f t="shared" si="30"/>
        <v>0.010799+20.733453i</v>
      </c>
      <c r="EA99" s="14" t="str">
        <f t="shared" si="24"/>
        <v>10.798674+0.0001i</v>
      </c>
      <c r="EC99" s="1" t="str">
        <f t="shared" si="25"/>
        <v>0.010799+20.733453i</v>
      </c>
      <c r="ED99" s="1" t="str">
        <f t="shared" si="26"/>
        <v>0.114542+223.893801i</v>
      </c>
      <c r="EE99" s="1" t="str">
        <f t="shared" si="27"/>
        <v>10.809473+20.733553i</v>
      </c>
      <c r="EF99" s="1" t="str">
        <f t="shared" si="28"/>
        <v>8.493032+4.422332i</v>
      </c>
      <c r="EG99" s="1" t="str">
        <f t="shared" si="29"/>
        <v>8.493132+3.016255i</v>
      </c>
      <c r="FN99" s="1">
        <f t="shared" si="15"/>
        <v>19.8</v>
      </c>
      <c r="FO99" s="1">
        <f t="shared" si="16"/>
        <v>9.104340596963187</v>
      </c>
      <c r="FR99" s="53"/>
    </row>
    <row r="100" spans="2:174" ht="18" customHeight="1" x14ac:dyDescent="0.25">
      <c r="B100" s="3"/>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5"/>
      <c r="AR100" s="3"/>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5"/>
      <c r="DW100" s="1">
        <f t="shared" si="31"/>
        <v>19.399999999999999</v>
      </c>
      <c r="DX100" s="12" t="str">
        <f t="shared" si="23"/>
        <v>0.0001-1.391582i</v>
      </c>
      <c r="DY100" s="13" t="str">
        <f t="shared" si="17"/>
        <v>0.000000001</v>
      </c>
      <c r="DZ100" s="13" t="str">
        <f t="shared" si="30"/>
        <v>0.010799+20.949427i</v>
      </c>
      <c r="EA100" s="14" t="str">
        <f t="shared" si="24"/>
        <v>10.798674+0.0001i</v>
      </c>
      <c r="EC100" s="1" t="str">
        <f t="shared" si="25"/>
        <v>0.010799+20.949427i</v>
      </c>
      <c r="ED100" s="1" t="str">
        <f t="shared" si="26"/>
        <v>0.11452+226.226034i</v>
      </c>
      <c r="EE100" s="1" t="str">
        <f t="shared" si="27"/>
        <v>10.809473+20.949527i</v>
      </c>
      <c r="EF100" s="1" t="str">
        <f t="shared" si="28"/>
        <v>8.530381+4.396013i</v>
      </c>
      <c r="EG100" s="1" t="str">
        <f t="shared" si="29"/>
        <v>8.530481+3.004431i</v>
      </c>
      <c r="FN100" s="1">
        <f t="shared" si="15"/>
        <v>20</v>
      </c>
      <c r="FO100" s="1">
        <f t="shared" si="16"/>
        <v>9.1333607505855134</v>
      </c>
      <c r="FR100" s="53"/>
    </row>
    <row r="101" spans="2:174" ht="18" customHeight="1" x14ac:dyDescent="0.25">
      <c r="B101" s="6"/>
      <c r="AN101" s="7"/>
      <c r="AP101" s="8"/>
      <c r="AR101" s="6"/>
      <c r="CD101" s="7"/>
      <c r="CF101" s="8"/>
      <c r="DW101" s="1">
        <f t="shared" si="31"/>
        <v>19.600000000000001</v>
      </c>
      <c r="DX101" s="12" t="str">
        <f t="shared" si="23"/>
        <v>0.0001-1.377382i</v>
      </c>
      <c r="DY101" s="13" t="str">
        <f t="shared" si="17"/>
        <v>0.000000001</v>
      </c>
      <c r="DZ101" s="13" t="str">
        <f t="shared" si="30"/>
        <v>0.010799+21.1654i</v>
      </c>
      <c r="EA101" s="14" t="str">
        <f t="shared" si="24"/>
        <v>10.798674+0.0001i</v>
      </c>
      <c r="EC101" s="1" t="str">
        <f t="shared" si="25"/>
        <v>0.010799+21.1654i</v>
      </c>
      <c r="ED101" s="1" t="str">
        <f t="shared" si="26"/>
        <v>0.114498+228.558256i</v>
      </c>
      <c r="EE101" s="1" t="str">
        <f t="shared" si="27"/>
        <v>10.809473+21.1655i</v>
      </c>
      <c r="EF101" s="1" t="str">
        <f t="shared" si="28"/>
        <v>8.566908+4.369812i</v>
      </c>
      <c r="EG101" s="1" t="str">
        <f t="shared" si="29"/>
        <v>8.567008+2.99243i</v>
      </c>
      <c r="FN101" s="1">
        <f t="shared" si="15"/>
        <v>20.2</v>
      </c>
      <c r="FO101" s="1">
        <f t="shared" si="16"/>
        <v>9.1616758943479883</v>
      </c>
      <c r="FR101" s="53"/>
    </row>
    <row r="102" spans="2:174" ht="18" customHeight="1" x14ac:dyDescent="0.25">
      <c r="B102" s="6"/>
      <c r="AN102" s="9"/>
      <c r="AP102" s="8"/>
      <c r="AR102" s="6"/>
      <c r="CD102" s="9"/>
      <c r="CF102" s="8"/>
      <c r="DW102" s="1">
        <f t="shared" si="31"/>
        <v>19.8</v>
      </c>
      <c r="DX102" s="12" t="str">
        <f t="shared" si="23"/>
        <v>0.0001-1.363469i</v>
      </c>
      <c r="DY102" s="13" t="str">
        <f t="shared" si="17"/>
        <v>0.000000001</v>
      </c>
      <c r="DZ102" s="13" t="str">
        <f t="shared" si="30"/>
        <v>0.010799+21.381374i</v>
      </c>
      <c r="EA102" s="14" t="str">
        <f t="shared" si="24"/>
        <v>10.798674+0.0001i</v>
      </c>
      <c r="EC102" s="1" t="str">
        <f t="shared" si="25"/>
        <v>0.010799+21.381374i</v>
      </c>
      <c r="ED102" s="1" t="str">
        <f t="shared" si="26"/>
        <v>0.114477+230.890489i</v>
      </c>
      <c r="EE102" s="1" t="str">
        <f t="shared" si="27"/>
        <v>10.809473+21.381474i</v>
      </c>
      <c r="EF102" s="1" t="str">
        <f t="shared" si="28"/>
        <v>8.602634+4.343735i</v>
      </c>
      <c r="EG102" s="1" t="str">
        <f t="shared" si="29"/>
        <v>8.602734+2.980266i</v>
      </c>
      <c r="FN102" s="1">
        <f t="shared" si="15"/>
        <v>20.399999999999999</v>
      </c>
      <c r="FO102" s="1">
        <f t="shared" si="16"/>
        <v>9.1893090027514042</v>
      </c>
      <c r="FR102" s="53"/>
    </row>
    <row r="103" spans="2:174" ht="18" customHeight="1" thickBot="1" x14ac:dyDescent="0.3">
      <c r="B103" s="6"/>
      <c r="C103" s="10" t="str">
        <f>H12 &amp; " | " &amp; AE13</f>
        <v>Enter Customer PO #  | Stage 1</v>
      </c>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1"/>
      <c r="AO103" s="10"/>
      <c r="AP103" s="8"/>
      <c r="AR103" s="6"/>
      <c r="AS103" s="10" t="str">
        <f>H12 &amp; " | " &amp; AE13</f>
        <v>Enter Customer PO #  | Stage 1</v>
      </c>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1"/>
      <c r="CE103" s="10"/>
      <c r="CF103" s="8"/>
      <c r="DW103" s="1">
        <f t="shared" si="31"/>
        <v>20</v>
      </c>
      <c r="DX103" s="12" t="str">
        <f t="shared" si="23"/>
        <v>0.0001-1.349834i</v>
      </c>
      <c r="DY103" s="13" t="str">
        <f t="shared" si="17"/>
        <v>0.000000001</v>
      </c>
      <c r="DZ103" s="13" t="str">
        <f t="shared" si="30"/>
        <v>0.010799+21.597347i</v>
      </c>
      <c r="EA103" s="14" t="str">
        <f t="shared" si="24"/>
        <v>10.798674+0.0001i</v>
      </c>
      <c r="EC103" s="1" t="str">
        <f t="shared" si="25"/>
        <v>0.010799+21.597347i</v>
      </c>
      <c r="ED103" s="1" t="str">
        <f t="shared" si="26"/>
        <v>0.114455+233.222711i</v>
      </c>
      <c r="EE103" s="1" t="str">
        <f t="shared" si="27"/>
        <v>10.809473+21.597447i</v>
      </c>
      <c r="EF103" s="1" t="str">
        <f t="shared" si="28"/>
        <v>8.63758+4.31779i</v>
      </c>
      <c r="EG103" s="1" t="str">
        <f t="shared" si="29"/>
        <v>8.63768+2.967956i</v>
      </c>
      <c r="FN103" s="1">
        <f t="shared" si="15"/>
        <v>20.6</v>
      </c>
      <c r="FO103" s="1">
        <f t="shared" si="16"/>
        <v>9.216280148229707</v>
      </c>
      <c r="FR103" s="53"/>
    </row>
    <row r="104" spans="2:174" ht="18" customHeight="1" x14ac:dyDescent="0.25">
      <c r="B104" s="6"/>
      <c r="AN104" s="9"/>
      <c r="AP104" s="8"/>
      <c r="AR104" s="6"/>
      <c r="CD104" s="9"/>
      <c r="CF104" s="8"/>
      <c r="DW104" s="1">
        <f t="shared" si="31"/>
        <v>20.2</v>
      </c>
      <c r="DX104" s="12" t="str">
        <f t="shared" si="23"/>
        <v>0.0001-1.33647i</v>
      </c>
      <c r="DY104" s="13" t="str">
        <f t="shared" si="17"/>
        <v>0.000000001</v>
      </c>
      <c r="DZ104" s="13" t="str">
        <f t="shared" si="30"/>
        <v>0.010799+21.813321i</v>
      </c>
      <c r="EA104" s="14" t="str">
        <f t="shared" si="24"/>
        <v>10.798674+0.0001i</v>
      </c>
      <c r="EC104" s="1" t="str">
        <f t="shared" si="25"/>
        <v>0.010799+21.813321i</v>
      </c>
      <c r="ED104" s="1" t="str">
        <f t="shared" si="26"/>
        <v>0.114434+235.554943i</v>
      </c>
      <c r="EE104" s="1" t="str">
        <f t="shared" si="27"/>
        <v>10.809473+21.813421i</v>
      </c>
      <c r="EF104" s="1" t="str">
        <f t="shared" si="28"/>
        <v>8.671766+4.291981i</v>
      </c>
      <c r="EG104" s="1" t="str">
        <f t="shared" si="29"/>
        <v>8.671866+2.955511i</v>
      </c>
      <c r="FN104" s="1">
        <f t="shared" si="15"/>
        <v>20.8</v>
      </c>
      <c r="FO104" s="1">
        <f t="shared" si="16"/>
        <v>9.2426081418374544</v>
      </c>
      <c r="FR104" s="53"/>
    </row>
    <row r="105" spans="2:174" ht="18" customHeight="1" x14ac:dyDescent="0.3">
      <c r="B105" s="6"/>
      <c r="C105" s="30" t="s">
        <v>111</v>
      </c>
      <c r="D105" s="21"/>
      <c r="E105" s="21"/>
      <c r="F105" s="21"/>
      <c r="G105" s="21"/>
      <c r="H105" s="21"/>
      <c r="I105" s="21"/>
      <c r="J105" s="21"/>
      <c r="K105" s="21"/>
      <c r="L105" s="21"/>
      <c r="M105" s="21"/>
      <c r="N105" s="21"/>
      <c r="AO105" s="17"/>
      <c r="AP105" s="8"/>
      <c r="AR105" s="6"/>
      <c r="AS105" s="30" t="s">
        <v>112</v>
      </c>
      <c r="CE105" s="17"/>
      <c r="CF105" s="8"/>
      <c r="DW105" s="1">
        <f t="shared" si="31"/>
        <v>20.399999999999999</v>
      </c>
      <c r="DX105" s="12" t="str">
        <f t="shared" si="23"/>
        <v>0.0001-1.323367i</v>
      </c>
      <c r="DY105" s="13" t="str">
        <f t="shared" si="17"/>
        <v>0.000000001</v>
      </c>
      <c r="DZ105" s="13" t="str">
        <f t="shared" si="30"/>
        <v>0.010799+22.029294i</v>
      </c>
      <c r="EA105" s="14" t="str">
        <f t="shared" si="24"/>
        <v>10.798674+0.0001i</v>
      </c>
      <c r="EC105" s="1" t="str">
        <f t="shared" si="25"/>
        <v>0.010799+22.029294i</v>
      </c>
      <c r="ED105" s="1" t="str">
        <f t="shared" si="26"/>
        <v>0.114412+237.887165i</v>
      </c>
      <c r="EE105" s="1" t="str">
        <f t="shared" si="27"/>
        <v>10.809473+22.029394i</v>
      </c>
      <c r="EF105" s="1" t="str">
        <f t="shared" si="28"/>
        <v>8.705212+4.266315i</v>
      </c>
      <c r="EG105" s="1" t="str">
        <f t="shared" si="29"/>
        <v>8.705312+2.942948i</v>
      </c>
      <c r="FN105" s="1">
        <f t="shared" si="15"/>
        <v>21</v>
      </c>
      <c r="FO105" s="1">
        <f t="shared" si="16"/>
        <v>9.268313995917163</v>
      </c>
      <c r="FR105" s="53"/>
    </row>
    <row r="106" spans="2:174" ht="18" customHeight="1" x14ac:dyDescent="0.3">
      <c r="B106" s="6"/>
      <c r="C106" s="47"/>
      <c r="D106" s="97" t="s">
        <v>113</v>
      </c>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47"/>
      <c r="AP106" s="8"/>
      <c r="AR106" s="6"/>
      <c r="CF106" s="8"/>
      <c r="DW106" s="1">
        <f t="shared" si="31"/>
        <v>20.6</v>
      </c>
      <c r="DX106" s="12" t="str">
        <f t="shared" si="23"/>
        <v>0.0001-1.310519i</v>
      </c>
      <c r="DY106" s="13" t="str">
        <f t="shared" si="17"/>
        <v>0.000000001</v>
      </c>
      <c r="DZ106" s="13" t="str">
        <f t="shared" si="30"/>
        <v>0.010799+22.245268i</v>
      </c>
      <c r="EA106" s="14" t="str">
        <f t="shared" si="24"/>
        <v>10.798674+0.0001i</v>
      </c>
      <c r="EC106" s="1" t="str">
        <f t="shared" si="25"/>
        <v>0.010799+22.245268i</v>
      </c>
      <c r="ED106" s="1" t="str">
        <f t="shared" si="26"/>
        <v>0.11439+240.219398i</v>
      </c>
      <c r="EE106" s="1" t="str">
        <f t="shared" si="27"/>
        <v>10.809473+22.245368i</v>
      </c>
      <c r="EF106" s="1" t="str">
        <f t="shared" si="28"/>
        <v>8.737937+4.240797i</v>
      </c>
      <c r="EG106" s="1" t="str">
        <f t="shared" si="29"/>
        <v>8.738037+2.930278i</v>
      </c>
      <c r="FN106" s="1">
        <f t="shared" si="15"/>
        <v>21.2</v>
      </c>
      <c r="FO106" s="1">
        <f t="shared" si="16"/>
        <v>9.2934158768307036</v>
      </c>
      <c r="FR106" s="53"/>
    </row>
    <row r="107" spans="2:174" ht="18" customHeight="1" x14ac:dyDescent="0.3">
      <c r="B107" s="6"/>
      <c r="AP107" s="8"/>
      <c r="AR107" s="6"/>
      <c r="AS107" s="97" t="s">
        <v>114</v>
      </c>
      <c r="AT107" s="97"/>
      <c r="AU107" s="97"/>
      <c r="AV107" s="97"/>
      <c r="AW107" s="97"/>
      <c r="AX107" s="9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7"/>
      <c r="CE107" s="97"/>
      <c r="CF107" s="8"/>
      <c r="DW107" s="1">
        <f t="shared" si="31"/>
        <v>20.8</v>
      </c>
      <c r="DX107" s="12" t="str">
        <f t="shared" si="23"/>
        <v>0.0001-1.297918i</v>
      </c>
      <c r="DY107" s="13" t="str">
        <f t="shared" si="17"/>
        <v>0.000000001</v>
      </c>
      <c r="DZ107" s="13" t="str">
        <f t="shared" si="30"/>
        <v>0.010799+22.461241i</v>
      </c>
      <c r="EA107" s="14" t="str">
        <f t="shared" si="24"/>
        <v>10.798674+0.0001i</v>
      </c>
      <c r="EC107" s="1" t="str">
        <f t="shared" si="25"/>
        <v>0.010799+22.461241i</v>
      </c>
      <c r="ED107" s="1" t="str">
        <f t="shared" si="26"/>
        <v>0.114369+242.55162i</v>
      </c>
      <c r="EE107" s="1" t="str">
        <f t="shared" si="27"/>
        <v>10.809473+22.461341i</v>
      </c>
      <c r="EF107" s="1" t="str">
        <f t="shared" si="28"/>
        <v>8.769958+4.215432i</v>
      </c>
      <c r="EG107" s="1" t="str">
        <f t="shared" si="29"/>
        <v>8.770058+2.917514i</v>
      </c>
      <c r="FN107" s="1">
        <f t="shared" si="15"/>
        <v>21.4</v>
      </c>
      <c r="FO107" s="1">
        <f t="shared" si="16"/>
        <v>9.317931018871624</v>
      </c>
      <c r="FR107" s="53"/>
    </row>
    <row r="108" spans="2:174" ht="18" customHeight="1" x14ac:dyDescent="0.25">
      <c r="B108" s="6"/>
      <c r="G108" s="35" t="s">
        <v>115</v>
      </c>
      <c r="H108" s="54" t="s">
        <v>216</v>
      </c>
      <c r="I108" s="38"/>
      <c r="J108" s="38"/>
      <c r="K108" s="38"/>
      <c r="L108" s="38"/>
      <c r="M108" s="38"/>
      <c r="N108" s="38"/>
      <c r="O108" s="38"/>
      <c r="Q108" s="24"/>
      <c r="R108" s="24"/>
      <c r="S108" s="24"/>
      <c r="T108" s="24"/>
      <c r="U108" s="24"/>
      <c r="V108" s="24"/>
      <c r="W108" s="32" t="s">
        <v>117</v>
      </c>
      <c r="X108" s="104" t="s">
        <v>118</v>
      </c>
      <c r="Y108" s="104"/>
      <c r="Z108" s="104"/>
      <c r="AA108" s="104"/>
      <c r="AB108" s="104"/>
      <c r="AC108" s="104"/>
      <c r="AD108" s="104"/>
      <c r="AE108" s="104"/>
      <c r="AF108" s="104"/>
      <c r="AG108" s="104"/>
      <c r="AH108" s="104"/>
      <c r="AI108" s="104"/>
      <c r="AJ108" s="104"/>
      <c r="AK108" s="104"/>
      <c r="AL108" s="104"/>
      <c r="AM108" s="104"/>
      <c r="AN108" s="104"/>
      <c r="AO108" s="104"/>
      <c r="AP108" s="8"/>
      <c r="AR108" s="6"/>
      <c r="AT108" s="113" t="s">
        <v>119</v>
      </c>
      <c r="AU108" s="113"/>
      <c r="AV108" s="113"/>
      <c r="AW108" s="113"/>
      <c r="AX108" s="113"/>
      <c r="AY108" s="113"/>
      <c r="AZ108" s="113"/>
      <c r="BA108" s="113"/>
      <c r="BB108" s="113"/>
      <c r="BC108" s="113"/>
      <c r="BD108" s="113"/>
      <c r="BE108" s="113"/>
      <c r="BF108" s="113"/>
      <c r="BG108" s="113"/>
      <c r="BH108" s="118">
        <f>0.1*AJ29*3</f>
        <v>1102.375386894867</v>
      </c>
      <c r="BI108" s="118"/>
      <c r="BJ108" s="118"/>
      <c r="BK108" s="118"/>
      <c r="BL108" s="1" t="str">
        <f>"Watts, 3-Phase or "&amp;ROUND(BH108*3.412141,0)&amp;" BTUs/Hour"</f>
        <v>Watts, 3-Phase or 3761 BTUs/Hour</v>
      </c>
      <c r="CF108" s="8"/>
      <c r="DW108" s="1">
        <f t="shared" si="31"/>
        <v>21</v>
      </c>
      <c r="DX108" s="12" t="str">
        <f t="shared" si="23"/>
        <v>0.0001-1.285556i</v>
      </c>
      <c r="DY108" s="13" t="str">
        <f t="shared" si="17"/>
        <v>0.000000001</v>
      </c>
      <c r="DZ108" s="13" t="str">
        <f t="shared" si="30"/>
        <v>0.010799+22.677215i</v>
      </c>
      <c r="EA108" s="14" t="str">
        <f t="shared" si="24"/>
        <v>10.798674+0.0001i</v>
      </c>
      <c r="EC108" s="1" t="str">
        <f t="shared" si="25"/>
        <v>0.010799+22.677215i</v>
      </c>
      <c r="ED108" s="1" t="str">
        <f t="shared" si="26"/>
        <v>0.114347+244.883853i</v>
      </c>
      <c r="EE108" s="1" t="str">
        <f t="shared" si="27"/>
        <v>10.809473+22.677315i</v>
      </c>
      <c r="EF108" s="1" t="str">
        <f t="shared" si="28"/>
        <v>8.801295+4.190223i</v>
      </c>
      <c r="EG108" s="1" t="str">
        <f t="shared" si="29"/>
        <v>8.801395+2.904667i</v>
      </c>
      <c r="FN108" s="1">
        <f t="shared" si="15"/>
        <v>21.6</v>
      </c>
      <c r="FO108" s="1">
        <f t="shared" si="16"/>
        <v>9.341877596512651</v>
      </c>
      <c r="FR108" s="53"/>
    </row>
    <row r="109" spans="2:174" ht="18" customHeight="1" x14ac:dyDescent="0.25">
      <c r="B109" s="6"/>
      <c r="G109" s="35" t="s">
        <v>34</v>
      </c>
      <c r="H109" s="54" t="str">
        <f>AE13</f>
        <v>Stage 1</v>
      </c>
      <c r="I109" s="38"/>
      <c r="J109" s="38"/>
      <c r="K109" s="38"/>
      <c r="L109" s="38"/>
      <c r="M109" s="38"/>
      <c r="N109" s="38"/>
      <c r="O109" s="38"/>
      <c r="AP109" s="8"/>
      <c r="AR109" s="6"/>
      <c r="AT109" s="119" t="s">
        <v>120</v>
      </c>
      <c r="AU109" s="119"/>
      <c r="AV109" s="119"/>
      <c r="AW109" s="119"/>
      <c r="AX109" s="119"/>
      <c r="AY109" s="119"/>
      <c r="AZ109" s="119"/>
      <c r="BA109" s="119"/>
      <c r="BB109" s="119"/>
      <c r="BC109" s="119"/>
      <c r="BD109" s="119"/>
      <c r="BE109" s="119"/>
      <c r="BF109" s="119"/>
      <c r="BG109" s="119"/>
      <c r="BH109" s="107">
        <f>(1.9*BJ19+12)*S29*3</f>
        <v>3033.55373126718</v>
      </c>
      <c r="BI109" s="107"/>
      <c r="BJ109" s="107"/>
      <c r="BK109" s="107"/>
      <c r="BL109" s="1" t="str">
        <f>"Watts, 3-Phase or "&amp;ROUND(BH109*3.412141,0)&amp;" BTUs/Hour"</f>
        <v>Watts, 3-Phase or 10351 BTUs/Hour</v>
      </c>
      <c r="CF109" s="8"/>
      <c r="DW109" s="1">
        <f t="shared" si="31"/>
        <v>21.2</v>
      </c>
      <c r="DX109" s="12" t="str">
        <f t="shared" si="23"/>
        <v>0.0001-1.273428i</v>
      </c>
      <c r="DY109" s="13" t="str">
        <f t="shared" si="17"/>
        <v>0.000000001</v>
      </c>
      <c r="DZ109" s="13" t="str">
        <f t="shared" si="30"/>
        <v>0.010799+22.893188i</v>
      </c>
      <c r="EA109" s="14" t="str">
        <f t="shared" si="24"/>
        <v>10.798674+0.0001i</v>
      </c>
      <c r="EC109" s="1" t="str">
        <f t="shared" si="25"/>
        <v>0.010799+22.893188i</v>
      </c>
      <c r="ED109" s="1" t="str">
        <f t="shared" si="26"/>
        <v>0.114326+247.216075i</v>
      </c>
      <c r="EE109" s="1" t="str">
        <f t="shared" si="27"/>
        <v>10.809473+22.893288i</v>
      </c>
      <c r="EF109" s="1" t="str">
        <f t="shared" si="28"/>
        <v>8.831965+4.165176i</v>
      </c>
      <c r="EG109" s="1" t="str">
        <f t="shared" si="29"/>
        <v>8.832065+2.891748i</v>
      </c>
      <c r="FN109" s="1">
        <f t="shared" ref="FN109:FN172" si="32">DW112</f>
        <v>21.8</v>
      </c>
      <c r="FO109" s="1">
        <f t="shared" ref="FO109:FO172" si="33">IMABS(EG112)</f>
        <v>9.3652712622369894</v>
      </c>
      <c r="FR109" s="53"/>
    </row>
    <row r="110" spans="2:174" ht="18" customHeight="1" x14ac:dyDescent="0.25">
      <c r="B110" s="6"/>
      <c r="G110" s="35" t="s">
        <v>121</v>
      </c>
      <c r="H110" s="120">
        <f>S19</f>
        <v>5</v>
      </c>
      <c r="I110" s="121"/>
      <c r="J110" s="121"/>
      <c r="K110" s="121"/>
      <c r="L110" s="121"/>
      <c r="M110" s="121"/>
      <c r="N110" s="121"/>
      <c r="O110" s="121"/>
      <c r="AP110" s="8"/>
      <c r="AR110" s="6"/>
      <c r="AT110" s="74" t="str">
        <f>"High-Pass Resistor Losses, "&amp;S20&amp;" Hertz:"</f>
        <v>High-Pass Resistor Losses, 60 Hertz:</v>
      </c>
      <c r="AU110" s="74"/>
      <c r="AV110" s="74"/>
      <c r="AW110" s="74"/>
      <c r="AX110" s="74"/>
      <c r="AY110" s="74"/>
      <c r="AZ110" s="74"/>
      <c r="BA110" s="74"/>
      <c r="BB110" s="74"/>
      <c r="BC110" s="74"/>
      <c r="BD110" s="74"/>
      <c r="BE110" s="74"/>
      <c r="BF110" s="74"/>
      <c r="BG110" s="74"/>
      <c r="BH110" s="75">
        <f>EA279*3</f>
        <v>24811.195075870986</v>
      </c>
      <c r="BI110" s="75"/>
      <c r="BJ110" s="75"/>
      <c r="BK110" s="75"/>
      <c r="BL110" s="1" t="str">
        <f>"Watts, 3-Phase or "&amp;ROUND(BH110*3.412141,0)&amp;" BTUs/Hour"</f>
        <v>Watts, 3-Phase or 84659 BTUs/Hour</v>
      </c>
      <c r="CF110" s="8"/>
      <c r="DW110" s="1">
        <f t="shared" si="31"/>
        <v>21.4</v>
      </c>
      <c r="DX110" s="12" t="str">
        <f t="shared" si="23"/>
        <v>0.0001-1.261527i</v>
      </c>
      <c r="DY110" s="13" t="str">
        <f t="shared" si="17"/>
        <v>0.000000001</v>
      </c>
      <c r="DZ110" s="13" t="str">
        <f t="shared" si="30"/>
        <v>0.010799+23.109162i</v>
      </c>
      <c r="EA110" s="14" t="str">
        <f t="shared" si="24"/>
        <v>10.798674+0.0001i</v>
      </c>
      <c r="EC110" s="1" t="str">
        <f t="shared" si="25"/>
        <v>0.010799+23.109162i</v>
      </c>
      <c r="ED110" s="1" t="str">
        <f t="shared" si="26"/>
        <v>0.114304+249.548308i</v>
      </c>
      <c r="EE110" s="1" t="str">
        <f t="shared" si="27"/>
        <v>10.809473+23.109262i</v>
      </c>
      <c r="EF110" s="1" t="str">
        <f t="shared" si="28"/>
        <v>8.861985+4.140292i</v>
      </c>
      <c r="EG110" s="1" t="str">
        <f t="shared" si="29"/>
        <v>8.862085+2.878765i</v>
      </c>
      <c r="FN110" s="1">
        <f t="shared" si="32"/>
        <v>22</v>
      </c>
      <c r="FO110" s="1">
        <f t="shared" si="33"/>
        <v>9.3881283221179395</v>
      </c>
    </row>
    <row r="111" spans="2:174" ht="18" customHeight="1" thickBot="1" x14ac:dyDescent="0.3">
      <c r="B111" s="6"/>
      <c r="H111" s="18"/>
      <c r="AP111" s="8"/>
      <c r="AR111" s="6"/>
      <c r="AT111" s="74" t="s">
        <v>122</v>
      </c>
      <c r="AU111" s="74"/>
      <c r="AV111" s="74"/>
      <c r="AW111" s="74"/>
      <c r="AX111" s="74"/>
      <c r="AY111" s="74"/>
      <c r="AZ111" s="74"/>
      <c r="BA111" s="74"/>
      <c r="BB111" s="74"/>
      <c r="BC111" s="74"/>
      <c r="BD111" s="74"/>
      <c r="BE111" s="74"/>
      <c r="BF111" s="74"/>
      <c r="BG111" s="74"/>
      <c r="BH111" s="112">
        <f>3*EA282</f>
        <v>2481.1195075870978</v>
      </c>
      <c r="BI111" s="112"/>
      <c r="BJ111" s="112"/>
      <c r="BK111" s="112"/>
      <c r="BL111" s="1" t="str">
        <f>"Watts, 3-Phase or "&amp;ROUND(BH111*3.412141,0)&amp;" BTUs/Hour"</f>
        <v>Watts, 3-Phase or 8466 BTUs/Hour</v>
      </c>
      <c r="CF111" s="8"/>
      <c r="DW111" s="1">
        <f t="shared" si="31"/>
        <v>21.6</v>
      </c>
      <c r="DX111" s="12" t="str">
        <f t="shared" si="23"/>
        <v>0.0001-1.249846i</v>
      </c>
      <c r="DY111" s="13" t="str">
        <f t="shared" si="17"/>
        <v>0.000000001</v>
      </c>
      <c r="DZ111" s="13" t="str">
        <f t="shared" si="30"/>
        <v>0.010799+23.325135i</v>
      </c>
      <c r="EA111" s="14" t="str">
        <f t="shared" si="24"/>
        <v>10.798674+0.0001i</v>
      </c>
      <c r="EC111" s="1" t="str">
        <f t="shared" si="25"/>
        <v>0.010799+23.325135i</v>
      </c>
      <c r="ED111" s="1" t="str">
        <f t="shared" si="26"/>
        <v>0.114282+251.88053i</v>
      </c>
      <c r="EE111" s="1" t="str">
        <f t="shared" si="27"/>
        <v>10.809473+23.325235i</v>
      </c>
      <c r="EF111" s="1" t="str">
        <f t="shared" si="28"/>
        <v>8.891372+4.115575i</v>
      </c>
      <c r="EG111" s="1" t="str">
        <f t="shared" si="29"/>
        <v>8.891472+2.865729i</v>
      </c>
      <c r="FN111" s="1">
        <f t="shared" si="32"/>
        <v>22.2</v>
      </c>
      <c r="FO111" s="1">
        <f t="shared" si="33"/>
        <v>9.4104660490020891</v>
      </c>
    </row>
    <row r="112" spans="2:174" ht="18" customHeight="1" thickTop="1" x14ac:dyDescent="0.3">
      <c r="B112" s="6"/>
      <c r="D112" s="114" t="s">
        <v>123</v>
      </c>
      <c r="E112" s="114"/>
      <c r="F112" s="114"/>
      <c r="G112" s="114"/>
      <c r="H112" s="114"/>
      <c r="I112" s="114"/>
      <c r="J112" s="114"/>
      <c r="K112" s="114"/>
      <c r="M112" s="97" t="s">
        <v>124</v>
      </c>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8"/>
      <c r="AR112" s="6"/>
      <c r="AT112" s="113" t="str">
        <f>"Total "&amp;S20&amp;" Hz Losses:"</f>
        <v>Total 60 Hz Losses:</v>
      </c>
      <c r="AU112" s="113"/>
      <c r="AV112" s="113"/>
      <c r="AW112" s="113"/>
      <c r="AX112" s="113"/>
      <c r="AY112" s="113"/>
      <c r="AZ112" s="113"/>
      <c r="BA112" s="113"/>
      <c r="BB112" s="113"/>
      <c r="BC112" s="113"/>
      <c r="BD112" s="113"/>
      <c r="BE112" s="113"/>
      <c r="BF112" s="113"/>
      <c r="BG112" s="113"/>
      <c r="BH112" s="109">
        <f>SUM(BH108:BK111)</f>
        <v>31428.243701620129</v>
      </c>
      <c r="BI112" s="109"/>
      <c r="BJ112" s="109"/>
      <c r="BK112" s="109"/>
      <c r="BL112" s="1" t="str">
        <f>"Watts, 3-Phase or "&amp;ROUND(BH112*3.412141,0)&amp;" BTUs/Hour"</f>
        <v>Watts, 3-Phase or 107238 BTUs/Hour</v>
      </c>
      <c r="CF112" s="8"/>
      <c r="DW112" s="1">
        <f t="shared" si="31"/>
        <v>21.8</v>
      </c>
      <c r="DX112" s="12" t="str">
        <f t="shared" si="23"/>
        <v>0.0001-1.23838i</v>
      </c>
      <c r="DY112" s="13" t="str">
        <f t="shared" ref="DY112:DY175" si="34">COMPLEX(0.000000001,-1*$CL$25/DW112)</f>
        <v>0.000000001</v>
      </c>
      <c r="DZ112" s="13" t="str">
        <f t="shared" si="30"/>
        <v>0.010799+23.541108i</v>
      </c>
      <c r="EA112" s="14" t="str">
        <f t="shared" si="24"/>
        <v>10.798674+0.0001i</v>
      </c>
      <c r="EC112" s="1" t="str">
        <f t="shared" si="25"/>
        <v>0.010799+23.541108i</v>
      </c>
      <c r="ED112" s="1" t="str">
        <f t="shared" si="26"/>
        <v>0.114261+254.212752i</v>
      </c>
      <c r="EE112" s="1" t="str">
        <f t="shared" si="27"/>
        <v>10.809473+23.541208i</v>
      </c>
      <c r="EF112" s="1" t="str">
        <f t="shared" si="28"/>
        <v>8.920141+4.091029i</v>
      </c>
      <c r="EG112" s="1" t="str">
        <f t="shared" si="29"/>
        <v>8.920241+2.852649i</v>
      </c>
      <c r="FN112" s="1">
        <f t="shared" si="32"/>
        <v>22.4</v>
      </c>
      <c r="FO112" s="1">
        <f t="shared" si="33"/>
        <v>9.4322966592541491</v>
      </c>
    </row>
    <row r="113" spans="2:171" ht="18" customHeight="1" x14ac:dyDescent="0.25">
      <c r="B113" s="6"/>
      <c r="D113" s="115" t="s">
        <v>125</v>
      </c>
      <c r="E113" s="115"/>
      <c r="F113" s="115"/>
      <c r="G113" s="116"/>
      <c r="H113" s="117" t="s">
        <v>126</v>
      </c>
      <c r="I113" s="115"/>
      <c r="J113" s="115"/>
      <c r="K113" s="115"/>
      <c r="V113" s="35" t="s">
        <v>127</v>
      </c>
      <c r="W113" s="108">
        <v>3</v>
      </c>
      <c r="X113" s="108"/>
      <c r="Y113" s="108"/>
      <c r="Z113" s="55"/>
      <c r="AA113" s="55"/>
      <c r="AB113" s="55"/>
      <c r="AC113" s="55"/>
      <c r="AD113" s="55"/>
      <c r="AE113" s="55"/>
      <c r="AF113" s="55"/>
      <c r="AG113" s="55"/>
      <c r="AH113" s="55"/>
      <c r="AI113" s="55"/>
      <c r="AJ113" s="55"/>
      <c r="AK113" s="55"/>
      <c r="AL113" s="55"/>
      <c r="AM113" s="55"/>
      <c r="AN113" s="55"/>
      <c r="AP113" s="8"/>
      <c r="AR113" s="6"/>
      <c r="CF113" s="8"/>
      <c r="DW113" s="1">
        <f t="shared" si="31"/>
        <v>22</v>
      </c>
      <c r="DX113" s="12" t="str">
        <f t="shared" si="23"/>
        <v>0.0001-1.227122i</v>
      </c>
      <c r="DY113" s="13" t="str">
        <f t="shared" si="34"/>
        <v>0.000000001</v>
      </c>
      <c r="DZ113" s="13" t="str">
        <f t="shared" si="30"/>
        <v>0.010799+23.757082i</v>
      </c>
      <c r="EA113" s="14" t="str">
        <f t="shared" si="24"/>
        <v>10.798674+0.0001i</v>
      </c>
      <c r="EC113" s="1" t="str">
        <f t="shared" si="25"/>
        <v>0.010799+23.757082i</v>
      </c>
      <c r="ED113" s="1" t="str">
        <f t="shared" si="26"/>
        <v>0.114239+256.544985i</v>
      </c>
      <c r="EE113" s="1" t="str">
        <f t="shared" si="27"/>
        <v>10.809473+23.757182i</v>
      </c>
      <c r="EF113" s="1" t="str">
        <f t="shared" si="28"/>
        <v>8.948308+4.066655i</v>
      </c>
      <c r="EG113" s="1" t="str">
        <f t="shared" si="29"/>
        <v>8.948408+2.839533i</v>
      </c>
      <c r="FN113" s="1">
        <f t="shared" si="32"/>
        <v>22.6</v>
      </c>
      <c r="FO113" s="1">
        <f t="shared" si="33"/>
        <v>9.4536371530923997</v>
      </c>
    </row>
    <row r="114" spans="2:171" ht="18" customHeight="1" x14ac:dyDescent="0.3">
      <c r="B114" s="6"/>
      <c r="D114" s="98">
        <f t="shared" ref="D114:D129" si="35">C61</f>
        <v>1</v>
      </c>
      <c r="E114" s="99"/>
      <c r="F114" s="99"/>
      <c r="G114" s="99"/>
      <c r="H114" s="110">
        <f>U61*S35</f>
        <v>415.11580217446271</v>
      </c>
      <c r="I114" s="98"/>
      <c r="J114" s="98"/>
      <c r="K114" s="98"/>
      <c r="V114" s="35" t="s">
        <v>128</v>
      </c>
      <c r="W114" s="108">
        <v>1</v>
      </c>
      <c r="X114" s="108"/>
      <c r="Y114" s="108"/>
      <c r="Z114" s="55"/>
      <c r="AA114" s="55"/>
      <c r="AB114" s="55"/>
      <c r="AC114" s="55"/>
      <c r="AD114" s="55"/>
      <c r="AE114" s="55"/>
      <c r="AF114" s="55"/>
      <c r="AG114" s="55"/>
      <c r="AH114" s="55"/>
      <c r="AI114" s="55"/>
      <c r="AJ114" s="55"/>
      <c r="AK114" s="55"/>
      <c r="AL114" s="55"/>
      <c r="AM114" s="55"/>
      <c r="AN114" s="55"/>
      <c r="AP114" s="8"/>
      <c r="AR114" s="6"/>
      <c r="AT114" s="97" t="s">
        <v>129</v>
      </c>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7"/>
      <c r="CE114" s="97"/>
      <c r="CF114" s="111"/>
      <c r="DW114" s="1">
        <f t="shared" si="31"/>
        <v>22.2</v>
      </c>
      <c r="DX114" s="12" t="str">
        <f t="shared" si="23"/>
        <v>0.0001-1.216067i</v>
      </c>
      <c r="DY114" s="13" t="str">
        <f t="shared" si="34"/>
        <v>0.000000001</v>
      </c>
      <c r="DZ114" s="13" t="str">
        <f t="shared" si="30"/>
        <v>0.010799+23.973055i</v>
      </c>
      <c r="EA114" s="14" t="str">
        <f t="shared" si="24"/>
        <v>10.798674+0.0001i</v>
      </c>
      <c r="EC114" s="1" t="str">
        <f t="shared" si="25"/>
        <v>0.010799+23.973055i</v>
      </c>
      <c r="ED114" s="1" t="str">
        <f t="shared" si="26"/>
        <v>0.114218+258.877207i</v>
      </c>
      <c r="EE114" s="1" t="str">
        <f t="shared" si="27"/>
        <v>10.809473+23.973155i</v>
      </c>
      <c r="EF114" s="1" t="str">
        <f t="shared" si="28"/>
        <v>8.97589+4.042456i</v>
      </c>
      <c r="EG114" s="1" t="str">
        <f t="shared" si="29"/>
        <v>8.97599+2.826389i</v>
      </c>
      <c r="FN114" s="1">
        <f t="shared" si="32"/>
        <v>22.8</v>
      </c>
      <c r="FO114" s="1">
        <f t="shared" si="33"/>
        <v>9.4745010217237304</v>
      </c>
    </row>
    <row r="115" spans="2:171" ht="18" customHeight="1" x14ac:dyDescent="0.25">
      <c r="B115" s="6"/>
      <c r="D115" s="98">
        <f t="shared" si="35"/>
        <v>2</v>
      </c>
      <c r="E115" s="99"/>
      <c r="F115" s="99"/>
      <c r="G115" s="99"/>
      <c r="H115" s="100">
        <f t="shared" ref="H115:H129" si="36">$S$36*U62</f>
        <v>0</v>
      </c>
      <c r="I115" s="101"/>
      <c r="J115" s="101"/>
      <c r="K115" s="101"/>
      <c r="V115" s="35" t="s">
        <v>130</v>
      </c>
      <c r="W115" s="106">
        <f>S17</f>
        <v>12.47</v>
      </c>
      <c r="X115" s="106"/>
      <c r="Y115" s="106"/>
      <c r="Z115" s="1" t="s">
        <v>42</v>
      </c>
      <c r="AP115" s="8"/>
      <c r="AR115" s="6"/>
      <c r="AT115" s="113" t="s">
        <v>45</v>
      </c>
      <c r="AU115" s="113"/>
      <c r="AV115" s="113"/>
      <c r="AW115" s="113"/>
      <c r="AX115" s="113"/>
      <c r="AY115" s="113"/>
      <c r="AZ115" s="113"/>
      <c r="BA115" s="113"/>
      <c r="BB115" s="113"/>
      <c r="BC115" s="113"/>
      <c r="BD115" s="113"/>
      <c r="BE115" s="113"/>
      <c r="BF115" s="113"/>
      <c r="BG115" s="113"/>
      <c r="BH115" s="118">
        <f>SUM(EB279:EP279)*3</f>
        <v>238842.92282765766</v>
      </c>
      <c r="BI115" s="118"/>
      <c r="BJ115" s="118"/>
      <c r="BK115" s="118"/>
      <c r="BL115" s="1" t="str">
        <f>"Watts, 3-Phase or "&amp;ROUND(BH115*3.412141,0)&amp;" BTUs/Hour"</f>
        <v>Watts, 3-Phase or 814966 BTUs/Hour</v>
      </c>
      <c r="CF115" s="5"/>
      <c r="DW115" s="1">
        <f t="shared" si="31"/>
        <v>22.4</v>
      </c>
      <c r="DX115" s="12" t="str">
        <f t="shared" si="23"/>
        <v>0.0001-1.205209i</v>
      </c>
      <c r="DY115" s="13" t="str">
        <f t="shared" si="34"/>
        <v>0.000000001</v>
      </c>
      <c r="DZ115" s="13" t="str">
        <f t="shared" si="30"/>
        <v>0.010799+24.189029i</v>
      </c>
      <c r="EA115" s="14" t="str">
        <f t="shared" si="24"/>
        <v>10.798674+0.0001i</v>
      </c>
      <c r="EC115" s="1" t="str">
        <f t="shared" si="25"/>
        <v>0.010799+24.189029i</v>
      </c>
      <c r="ED115" s="1" t="str">
        <f t="shared" si="26"/>
        <v>0.114196+261.20944i</v>
      </c>
      <c r="EE115" s="1" t="str">
        <f t="shared" si="27"/>
        <v>10.809473+24.189129i</v>
      </c>
      <c r="EF115" s="1" t="str">
        <f t="shared" si="28"/>
        <v>9.002899+4.018433i</v>
      </c>
      <c r="EG115" s="1" t="str">
        <f t="shared" si="29"/>
        <v>9.002999+2.813224i</v>
      </c>
      <c r="FN115" s="1">
        <f t="shared" si="32"/>
        <v>23</v>
      </c>
      <c r="FO115" s="1">
        <f t="shared" si="33"/>
        <v>9.4949005882891164</v>
      </c>
    </row>
    <row r="116" spans="2:171" ht="18" customHeight="1" thickBot="1" x14ac:dyDescent="0.3">
      <c r="B116" s="6"/>
      <c r="D116" s="98">
        <f t="shared" si="35"/>
        <v>3</v>
      </c>
      <c r="E116" s="99"/>
      <c r="F116" s="99"/>
      <c r="G116" s="99"/>
      <c r="H116" s="100">
        <f t="shared" si="36"/>
        <v>0</v>
      </c>
      <c r="I116" s="101"/>
      <c r="J116" s="101"/>
      <c r="K116" s="101"/>
      <c r="V116" s="35" t="s">
        <v>132</v>
      </c>
      <c r="W116" s="108">
        <v>95</v>
      </c>
      <c r="X116" s="108"/>
      <c r="Y116" s="108"/>
      <c r="Z116" s="1" t="s">
        <v>42</v>
      </c>
      <c r="AP116" s="8"/>
      <c r="AR116" s="6"/>
      <c r="AT116" s="113" t="s">
        <v>131</v>
      </c>
      <c r="AU116" s="113"/>
      <c r="AV116" s="113"/>
      <c r="AW116" s="113"/>
      <c r="AX116" s="113"/>
      <c r="AY116" s="113"/>
      <c r="AZ116" s="113"/>
      <c r="BA116" s="113"/>
      <c r="BB116" s="113"/>
      <c r="BC116" s="113"/>
      <c r="BD116" s="113"/>
      <c r="BE116" s="113"/>
      <c r="BF116" s="113"/>
      <c r="BG116" s="113"/>
      <c r="BH116" s="112">
        <f>3*SUM(EB282:EP282)</f>
        <v>467.39033133900926</v>
      </c>
      <c r="BI116" s="112"/>
      <c r="BJ116" s="112"/>
      <c r="BK116" s="112"/>
      <c r="BL116" s="1" t="str">
        <f>"Watts, 3-Phase or "&amp;ROUND(BH116*3.412141,0)&amp;" BTUs/Hour"</f>
        <v>Watts, 3-Phase or 1595 BTUs/Hour</v>
      </c>
      <c r="CF116" s="8"/>
      <c r="DW116" s="1">
        <f t="shared" si="31"/>
        <v>22.6</v>
      </c>
      <c r="DX116" s="12" t="str">
        <f t="shared" si="23"/>
        <v>0.0001-1.194544i</v>
      </c>
      <c r="DY116" s="13" t="str">
        <f t="shared" si="34"/>
        <v>0.000000001</v>
      </c>
      <c r="DZ116" s="13" t="str">
        <f t="shared" si="30"/>
        <v>0.010799+24.405002i</v>
      </c>
      <c r="EA116" s="14" t="str">
        <f t="shared" si="24"/>
        <v>10.798674+0.0001i</v>
      </c>
      <c r="EC116" s="1" t="str">
        <f t="shared" si="25"/>
        <v>0.010799+24.405002i</v>
      </c>
      <c r="ED116" s="1" t="str">
        <f t="shared" si="26"/>
        <v>0.114174+263.541662i</v>
      </c>
      <c r="EE116" s="1" t="str">
        <f t="shared" si="27"/>
        <v>10.809473+24.405102i</v>
      </c>
      <c r="EF116" s="1" t="str">
        <f t="shared" si="28"/>
        <v>9.029352+3.994589i</v>
      </c>
      <c r="EG116" s="1" t="str">
        <f t="shared" si="29"/>
        <v>9.029452+2.800045i</v>
      </c>
      <c r="FN116" s="1">
        <f t="shared" si="32"/>
        <v>23.2</v>
      </c>
      <c r="FO116" s="1">
        <f t="shared" si="33"/>
        <v>9.5148503251128442</v>
      </c>
    </row>
    <row r="117" spans="2:171" ht="18" customHeight="1" thickTop="1" x14ac:dyDescent="0.25">
      <c r="B117" s="6"/>
      <c r="D117" s="98">
        <f t="shared" si="35"/>
        <v>4</v>
      </c>
      <c r="E117" s="99"/>
      <c r="F117" s="99"/>
      <c r="G117" s="99"/>
      <c r="H117" s="100">
        <f t="shared" si="36"/>
        <v>0</v>
      </c>
      <c r="I117" s="101"/>
      <c r="J117" s="101"/>
      <c r="K117" s="101"/>
      <c r="V117" s="35" t="s">
        <v>134</v>
      </c>
      <c r="W117" s="108">
        <v>35</v>
      </c>
      <c r="X117" s="108"/>
      <c r="Y117" s="108"/>
      <c r="Z117" s="1" t="s">
        <v>42</v>
      </c>
      <c r="AP117" s="8"/>
      <c r="AR117" s="6"/>
      <c r="AT117" s="113" t="s">
        <v>133</v>
      </c>
      <c r="AU117" s="113"/>
      <c r="AV117" s="113"/>
      <c r="AW117" s="113"/>
      <c r="AX117" s="113"/>
      <c r="AY117" s="113"/>
      <c r="AZ117" s="113"/>
      <c r="BA117" s="113"/>
      <c r="BB117" s="113"/>
      <c r="BC117" s="113"/>
      <c r="BD117" s="113"/>
      <c r="BE117" s="113"/>
      <c r="BF117" s="113"/>
      <c r="BG117" s="113"/>
      <c r="BH117" s="109">
        <f>SUM(BH115:BK116)</f>
        <v>239310.31315899667</v>
      </c>
      <c r="BI117" s="109"/>
      <c r="BJ117" s="109"/>
      <c r="BK117" s="109"/>
      <c r="BL117" s="1" t="str">
        <f>"Watts, 3-Phase or "&amp;ROUND(BH117*3.412141,0)&amp;" BTUs/Hour"</f>
        <v>Watts, 3-Phase or 816561 BTUs/Hour</v>
      </c>
      <c r="CF117" s="8"/>
      <c r="DW117" s="1">
        <f t="shared" si="31"/>
        <v>22.8</v>
      </c>
      <c r="DX117" s="12" t="str">
        <f t="shared" si="23"/>
        <v>0.0001-1.184065i</v>
      </c>
      <c r="DY117" s="13" t="str">
        <f t="shared" si="34"/>
        <v>0.000000001</v>
      </c>
      <c r="DZ117" s="13" t="str">
        <f t="shared" si="30"/>
        <v>0.010799+24.620976i</v>
      </c>
      <c r="EA117" s="14" t="str">
        <f t="shared" si="24"/>
        <v>10.798674+0.0001i</v>
      </c>
      <c r="EC117" s="1" t="str">
        <f t="shared" si="25"/>
        <v>0.010799+24.620976i</v>
      </c>
      <c r="ED117" s="1" t="str">
        <f t="shared" si="26"/>
        <v>0.114153+265.873894i</v>
      </c>
      <c r="EE117" s="1" t="str">
        <f t="shared" si="27"/>
        <v>10.809473+24.621076i</v>
      </c>
      <c r="EF117" s="1" t="str">
        <f t="shared" si="28"/>
        <v>9.055262+3.970925i</v>
      </c>
      <c r="EG117" s="1" t="str">
        <f t="shared" si="29"/>
        <v>9.055362+2.78686i</v>
      </c>
      <c r="FN117" s="1">
        <f t="shared" si="32"/>
        <v>23.4</v>
      </c>
      <c r="FO117" s="1">
        <f t="shared" si="33"/>
        <v>9.5343613495375763</v>
      </c>
    </row>
    <row r="118" spans="2:171" ht="18" customHeight="1" x14ac:dyDescent="0.25">
      <c r="B118" s="6"/>
      <c r="D118" s="98">
        <f t="shared" si="35"/>
        <v>5</v>
      </c>
      <c r="E118" s="99"/>
      <c r="F118" s="99"/>
      <c r="G118" s="99"/>
      <c r="H118" s="100">
        <f t="shared" si="36"/>
        <v>134.1640786499874</v>
      </c>
      <c r="I118" s="101"/>
      <c r="J118" s="101"/>
      <c r="K118" s="101"/>
      <c r="V118" s="35" t="s">
        <v>135</v>
      </c>
      <c r="W118" s="106">
        <f>S20</f>
        <v>60</v>
      </c>
      <c r="X118" s="106"/>
      <c r="Y118" s="106"/>
      <c r="Z118" s="1" t="s">
        <v>54</v>
      </c>
      <c r="AP118" s="8"/>
      <c r="AR118" s="6"/>
      <c r="CF118" s="8"/>
      <c r="DW118" s="1">
        <f t="shared" si="31"/>
        <v>23</v>
      </c>
      <c r="DX118" s="12" t="str">
        <f t="shared" si="23"/>
        <v>0.0001-1.173769i</v>
      </c>
      <c r="DY118" s="13" t="str">
        <f t="shared" si="34"/>
        <v>0.000000001</v>
      </c>
      <c r="DZ118" s="13" t="str">
        <f t="shared" si="30"/>
        <v>0.010799+24.836949i</v>
      </c>
      <c r="EA118" s="14" t="str">
        <f t="shared" si="24"/>
        <v>10.798674+0.0001i</v>
      </c>
      <c r="EC118" s="1" t="str">
        <f t="shared" si="25"/>
        <v>0.010799+24.836949i</v>
      </c>
      <c r="ED118" s="1" t="str">
        <f t="shared" si="26"/>
        <v>0.114131+268.206116i</v>
      </c>
      <c r="EE118" s="1" t="str">
        <f t="shared" si="27"/>
        <v>10.809473+24.837049i</v>
      </c>
      <c r="EF118" s="1" t="str">
        <f t="shared" si="28"/>
        <v>9.080642+3.947442i</v>
      </c>
      <c r="EG118" s="1" t="str">
        <f t="shared" si="29"/>
        <v>9.080742+2.773673i</v>
      </c>
      <c r="FN118" s="1">
        <f t="shared" si="32"/>
        <v>23.6</v>
      </c>
      <c r="FO118" s="1">
        <f t="shared" si="33"/>
        <v>9.5534475884606707</v>
      </c>
    </row>
    <row r="119" spans="2:171" ht="18" customHeight="1" x14ac:dyDescent="0.35">
      <c r="B119" s="6"/>
      <c r="D119" s="98">
        <f t="shared" si="35"/>
        <v>7</v>
      </c>
      <c r="E119" s="99"/>
      <c r="F119" s="99"/>
      <c r="G119" s="99"/>
      <c r="H119" s="100">
        <f t="shared" si="36"/>
        <v>98.307830462284841</v>
      </c>
      <c r="I119" s="101"/>
      <c r="J119" s="101"/>
      <c r="K119" s="101"/>
      <c r="V119" s="35" t="s">
        <v>137</v>
      </c>
      <c r="W119" s="105">
        <f>AJ35</f>
        <v>2.8645216221314431</v>
      </c>
      <c r="X119" s="105"/>
      <c r="Y119" s="105"/>
      <c r="Z119" s="57" t="s">
        <v>84</v>
      </c>
      <c r="AA119" s="57"/>
      <c r="AB119" s="57"/>
      <c r="AC119" s="57"/>
      <c r="AD119" s="57"/>
      <c r="AE119" s="57"/>
      <c r="AF119" s="57"/>
      <c r="AG119" s="57"/>
      <c r="AH119" s="57"/>
      <c r="AI119" s="57"/>
      <c r="AJ119" s="57"/>
      <c r="AK119" s="57"/>
      <c r="AL119" s="57"/>
      <c r="AM119" s="57"/>
      <c r="AN119" s="57"/>
      <c r="AP119" s="8"/>
      <c r="AR119" s="6"/>
      <c r="AT119" s="113" t="s">
        <v>136</v>
      </c>
      <c r="AU119" s="113"/>
      <c r="AV119" s="113"/>
      <c r="AW119" s="113"/>
      <c r="AX119" s="113"/>
      <c r="AY119" s="113"/>
      <c r="AZ119" s="113"/>
      <c r="BA119" s="113"/>
      <c r="BB119" s="113"/>
      <c r="BC119" s="113"/>
      <c r="BD119" s="113"/>
      <c r="BE119" s="113"/>
      <c r="BF119" s="113"/>
      <c r="BG119" s="113"/>
      <c r="BH119" s="107">
        <f>SUM(BH117,BH112)</f>
        <v>270738.55686061678</v>
      </c>
      <c r="BI119" s="107"/>
      <c r="BJ119" s="107"/>
      <c r="BK119" s="107"/>
      <c r="BL119" s="1" t="str">
        <f>"Watts, 3-Phase or "&amp;ROUND(BH119*3.412141,0)&amp;" BTUs/Hour"</f>
        <v>Watts, 3-Phase or 923798 BTUs/Hour</v>
      </c>
      <c r="CA119" s="56"/>
      <c r="CD119" s="56"/>
      <c r="CE119" s="56"/>
      <c r="CF119" s="8"/>
      <c r="DW119" s="1">
        <f t="shared" si="31"/>
        <v>23.2</v>
      </c>
      <c r="DX119" s="12" t="str">
        <f t="shared" si="23"/>
        <v>0.0001-1.16365i</v>
      </c>
      <c r="DY119" s="13" t="str">
        <f t="shared" si="34"/>
        <v>0.000000001</v>
      </c>
      <c r="DZ119" s="13" t="str">
        <f t="shared" si="30"/>
        <v>0.010799+25.052923i</v>
      </c>
      <c r="EA119" s="14" t="str">
        <f t="shared" si="24"/>
        <v>10.798674+0.0001i</v>
      </c>
      <c r="EC119" s="1" t="str">
        <f t="shared" si="25"/>
        <v>0.010799+25.052923i</v>
      </c>
      <c r="ED119" s="1" t="str">
        <f t="shared" si="26"/>
        <v>0.11411+270.538349i</v>
      </c>
      <c r="EE119" s="1" t="str">
        <f t="shared" si="27"/>
        <v>10.809473+25.053023i</v>
      </c>
      <c r="EF119" s="1" t="str">
        <f t="shared" si="28"/>
        <v>9.105506+3.924142i</v>
      </c>
      <c r="EG119" s="1" t="str">
        <f t="shared" si="29"/>
        <v>9.105606+2.760492i</v>
      </c>
      <c r="FN119" s="1">
        <f t="shared" si="32"/>
        <v>23.8</v>
      </c>
      <c r="FO119" s="1">
        <f t="shared" si="33"/>
        <v>9.5721207815541067</v>
      </c>
    </row>
    <row r="120" spans="2:171" ht="18" customHeight="1" x14ac:dyDescent="0.25">
      <c r="B120" s="6"/>
      <c r="D120" s="98">
        <f t="shared" si="35"/>
        <v>11</v>
      </c>
      <c r="E120" s="99"/>
      <c r="F120" s="99"/>
      <c r="G120" s="99"/>
      <c r="H120" s="100">
        <f t="shared" si="36"/>
        <v>60.540551459668123</v>
      </c>
      <c r="I120" s="101"/>
      <c r="J120" s="101"/>
      <c r="K120" s="101"/>
      <c r="V120" s="35" t="s">
        <v>138</v>
      </c>
      <c r="W120" s="105">
        <f>AJ34</f>
        <v>1.0798673611111114</v>
      </c>
      <c r="X120" s="105"/>
      <c r="Y120" s="105"/>
      <c r="Z120" s="57" t="s">
        <v>44</v>
      </c>
      <c r="AA120" s="57"/>
      <c r="AB120" s="57"/>
      <c r="AC120" s="57"/>
      <c r="AD120" s="57"/>
      <c r="AE120" s="57"/>
      <c r="AF120" s="57"/>
      <c r="AG120" s="57"/>
      <c r="AH120" s="57"/>
      <c r="AI120" s="57"/>
      <c r="AJ120" s="57"/>
      <c r="AK120" s="57"/>
      <c r="AL120" s="57"/>
      <c r="AM120" s="57"/>
      <c r="AN120" s="57"/>
      <c r="AP120" s="8"/>
      <c r="AR120" s="6"/>
      <c r="CF120" s="8"/>
      <c r="DW120" s="1">
        <f t="shared" si="31"/>
        <v>23.4</v>
      </c>
      <c r="DX120" s="12" t="str">
        <f t="shared" si="23"/>
        <v>0.0001-1.153704i</v>
      </c>
      <c r="DY120" s="13" t="str">
        <f t="shared" si="34"/>
        <v>0.000000001</v>
      </c>
      <c r="DZ120" s="13" t="str">
        <f t="shared" si="30"/>
        <v>0.010799+25.268896i</v>
      </c>
      <c r="EA120" s="14" t="str">
        <f t="shared" si="24"/>
        <v>10.798674+0.0001i</v>
      </c>
      <c r="EC120" s="1" t="str">
        <f t="shared" si="25"/>
        <v>0.010799+25.268896i</v>
      </c>
      <c r="ED120" s="1" t="str">
        <f t="shared" si="26"/>
        <v>0.114088+272.870571i</v>
      </c>
      <c r="EE120" s="1" t="str">
        <f t="shared" si="27"/>
        <v>10.809473+25.268996i</v>
      </c>
      <c r="EF120" s="1" t="str">
        <f t="shared" si="28"/>
        <v>9.129866+3.901024i</v>
      </c>
      <c r="EG120" s="1" t="str">
        <f t="shared" si="29"/>
        <v>9.129966+2.74732i</v>
      </c>
      <c r="FN120" s="1">
        <f t="shared" si="32"/>
        <v>24</v>
      </c>
      <c r="FO120" s="1">
        <f t="shared" si="33"/>
        <v>9.5903902018034692</v>
      </c>
    </row>
    <row r="121" spans="2:171" ht="18" customHeight="1" x14ac:dyDescent="0.25">
      <c r="B121" s="6"/>
      <c r="D121" s="98">
        <f t="shared" si="35"/>
        <v>13</v>
      </c>
      <c r="E121" s="99"/>
      <c r="F121" s="99"/>
      <c r="G121" s="99"/>
      <c r="H121" s="100">
        <f t="shared" si="36"/>
        <v>27.43698423823616</v>
      </c>
      <c r="I121" s="101"/>
      <c r="J121" s="101"/>
      <c r="K121" s="101"/>
      <c r="V121" s="35" t="s">
        <v>139</v>
      </c>
      <c r="W121" s="104" t="s">
        <v>140</v>
      </c>
      <c r="X121" s="104"/>
      <c r="Y121" s="104"/>
      <c r="Z121" s="104"/>
      <c r="AA121" s="104"/>
      <c r="AB121" s="104"/>
      <c r="AC121" s="104"/>
      <c r="AD121" s="104"/>
      <c r="AE121" s="104"/>
      <c r="AF121" s="104"/>
      <c r="AG121" s="104"/>
      <c r="AH121" s="104"/>
      <c r="AI121" s="104"/>
      <c r="AJ121" s="104"/>
      <c r="AK121" s="104"/>
      <c r="AL121" s="104"/>
      <c r="AM121" s="104"/>
      <c r="AN121" s="104"/>
      <c r="AP121" s="8"/>
      <c r="AR121" s="6"/>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8"/>
      <c r="DW121" s="1">
        <f t="shared" si="31"/>
        <v>23.6</v>
      </c>
      <c r="DX121" s="12" t="str">
        <f t="shared" si="23"/>
        <v>0.0001-1.143927i</v>
      </c>
      <c r="DY121" s="13" t="str">
        <f t="shared" si="34"/>
        <v>0.000000001</v>
      </c>
      <c r="DZ121" s="13" t="str">
        <f t="shared" si="30"/>
        <v>0.010799+25.48487i</v>
      </c>
      <c r="EA121" s="14" t="str">
        <f t="shared" si="24"/>
        <v>10.798674+0.0001i</v>
      </c>
      <c r="EC121" s="1" t="str">
        <f t="shared" si="25"/>
        <v>0.010799+25.48487i</v>
      </c>
      <c r="ED121" s="1" t="str">
        <f t="shared" si="26"/>
        <v>0.114066+275.202804i</v>
      </c>
      <c r="EE121" s="1" t="str">
        <f t="shared" si="27"/>
        <v>10.809473+25.48497i</v>
      </c>
      <c r="EF121" s="1" t="str">
        <f t="shared" si="28"/>
        <v>9.153736+3.87809i</v>
      </c>
      <c r="EG121" s="1" t="str">
        <f t="shared" si="29"/>
        <v>9.153836+2.734163i</v>
      </c>
      <c r="FN121" s="1">
        <f t="shared" si="32"/>
        <v>24.2</v>
      </c>
      <c r="FO121" s="1">
        <f t="shared" si="33"/>
        <v>9.6082691500199466</v>
      </c>
    </row>
    <row r="122" spans="2:171" ht="18" customHeight="1" x14ac:dyDescent="0.25">
      <c r="B122" s="6"/>
      <c r="D122" s="98">
        <f t="shared" si="35"/>
        <v>17</v>
      </c>
      <c r="E122" s="99"/>
      <c r="F122" s="99"/>
      <c r="G122" s="99"/>
      <c r="H122" s="100">
        <f t="shared" si="36"/>
        <v>15.210603796901815</v>
      </c>
      <c r="I122" s="101"/>
      <c r="J122" s="101"/>
      <c r="K122" s="101"/>
      <c r="Q122" s="57"/>
      <c r="V122" s="35" t="s">
        <v>141</v>
      </c>
      <c r="W122" s="104" t="s">
        <v>142</v>
      </c>
      <c r="X122" s="104"/>
      <c r="Y122" s="104"/>
      <c r="AP122" s="8"/>
      <c r="AR122" s="6"/>
      <c r="CF122" s="8"/>
      <c r="DW122" s="1">
        <f t="shared" si="31"/>
        <v>23.8</v>
      </c>
      <c r="DX122" s="12" t="str">
        <f t="shared" si="23"/>
        <v>0.0001-1.134314i</v>
      </c>
      <c r="DY122" s="13" t="str">
        <f t="shared" si="34"/>
        <v>0.000000001</v>
      </c>
      <c r="DZ122" s="13" t="str">
        <f t="shared" si="30"/>
        <v>0.010799+25.700843i</v>
      </c>
      <c r="EA122" s="14" t="str">
        <f t="shared" si="24"/>
        <v>10.798674+0.0001i</v>
      </c>
      <c r="EC122" s="1" t="str">
        <f t="shared" si="25"/>
        <v>0.010799+25.700843i</v>
      </c>
      <c r="ED122" s="1" t="str">
        <f t="shared" si="26"/>
        <v>0.114045+277.535026i</v>
      </c>
      <c r="EE122" s="1" t="str">
        <f t="shared" si="27"/>
        <v>10.809473+25.700943i</v>
      </c>
      <c r="EF122" s="1" t="str">
        <f t="shared" si="28"/>
        <v>9.177128+3.85534i</v>
      </c>
      <c r="EG122" s="1" t="str">
        <f t="shared" si="29"/>
        <v>9.177228+2.721026i</v>
      </c>
      <c r="FN122" s="1">
        <f t="shared" si="32"/>
        <v>24.4</v>
      </c>
      <c r="FO122" s="1">
        <f t="shared" si="33"/>
        <v>9.6257676150783933</v>
      </c>
    </row>
    <row r="123" spans="2:171" ht="18" customHeight="1" x14ac:dyDescent="0.3">
      <c r="B123" s="6"/>
      <c r="D123" s="98">
        <f t="shared" si="35"/>
        <v>19</v>
      </c>
      <c r="E123" s="99"/>
      <c r="F123" s="99"/>
      <c r="G123" s="99"/>
      <c r="H123" s="100">
        <f t="shared" si="36"/>
        <v>6.9861964924893343</v>
      </c>
      <c r="I123" s="101"/>
      <c r="J123" s="101"/>
      <c r="K123" s="101"/>
      <c r="V123" s="35" t="s">
        <v>143</v>
      </c>
      <c r="W123" s="104" t="s">
        <v>144</v>
      </c>
      <c r="X123" s="104"/>
      <c r="Y123" s="104"/>
      <c r="AP123" s="8"/>
      <c r="AR123" s="6"/>
      <c r="AS123" s="30" t="s">
        <v>145</v>
      </c>
      <c r="CF123" s="8"/>
      <c r="DW123" s="1">
        <f t="shared" si="31"/>
        <v>24</v>
      </c>
      <c r="DX123" s="12" t="str">
        <f t="shared" si="23"/>
        <v>0.0001-1.124862i</v>
      </c>
      <c r="DY123" s="13" t="str">
        <f t="shared" si="34"/>
        <v>0.000000001</v>
      </c>
      <c r="DZ123" s="13" t="str">
        <f t="shared" si="30"/>
        <v>0.010799+25.916817i</v>
      </c>
      <c r="EA123" s="14" t="str">
        <f t="shared" si="24"/>
        <v>10.798674+0.0001i</v>
      </c>
      <c r="EC123" s="1" t="str">
        <f t="shared" si="25"/>
        <v>0.010799+25.916817i</v>
      </c>
      <c r="ED123" s="1" t="str">
        <f t="shared" si="26"/>
        <v>0.114023+279.867259i</v>
      </c>
      <c r="EE123" s="1" t="str">
        <f t="shared" si="27"/>
        <v>10.809473+25.916917i</v>
      </c>
      <c r="EF123" s="1" t="str">
        <f t="shared" si="28"/>
        <v>9.200052+3.832774i</v>
      </c>
      <c r="EG123" s="1" t="str">
        <f t="shared" si="29"/>
        <v>9.200152+2.707912i</v>
      </c>
      <c r="FN123" s="1">
        <f t="shared" si="32"/>
        <v>24.6</v>
      </c>
      <c r="FO123" s="1">
        <f t="shared" si="33"/>
        <v>9.6428961733622316</v>
      </c>
    </row>
    <row r="124" spans="2:171" ht="18" customHeight="1" x14ac:dyDescent="0.25">
      <c r="B124" s="6"/>
      <c r="D124" s="98">
        <f t="shared" si="35"/>
        <v>23</v>
      </c>
      <c r="E124" s="99"/>
      <c r="F124" s="99"/>
      <c r="G124" s="99"/>
      <c r="H124" s="100">
        <f t="shared" si="36"/>
        <v>5.9808916712167504</v>
      </c>
      <c r="I124" s="101"/>
      <c r="J124" s="101"/>
      <c r="K124" s="101"/>
      <c r="V124" s="35" t="s">
        <v>146</v>
      </c>
      <c r="W124" s="104" t="s">
        <v>147</v>
      </c>
      <c r="X124" s="104"/>
      <c r="Y124" s="104"/>
      <c r="Z124" s="104"/>
      <c r="AA124" s="104"/>
      <c r="AB124" s="104"/>
      <c r="AC124" s="104"/>
      <c r="AD124" s="104"/>
      <c r="AE124" s="104"/>
      <c r="AP124" s="8"/>
      <c r="AR124" s="6"/>
      <c r="CF124" s="8"/>
      <c r="DW124" s="1">
        <f t="shared" si="31"/>
        <v>24.2</v>
      </c>
      <c r="DX124" s="12" t="str">
        <f t="shared" si="23"/>
        <v>0.0001-1.115565i</v>
      </c>
      <c r="DY124" s="13" t="str">
        <f t="shared" si="34"/>
        <v>0.000000001</v>
      </c>
      <c r="DZ124" s="13" t="str">
        <f t="shared" si="30"/>
        <v>0.010799+26.13279i</v>
      </c>
      <c r="EA124" s="14" t="str">
        <f t="shared" si="24"/>
        <v>10.798674+0.0001i</v>
      </c>
      <c r="EC124" s="1" t="str">
        <f t="shared" si="25"/>
        <v>0.010799+26.13279i</v>
      </c>
      <c r="ED124" s="1" t="str">
        <f t="shared" si="26"/>
        <v>0.114002+282.199481i</v>
      </c>
      <c r="EE124" s="1" t="str">
        <f t="shared" si="27"/>
        <v>10.809473+26.13289i</v>
      </c>
      <c r="EF124" s="1" t="str">
        <f t="shared" si="28"/>
        <v>9.222521+3.810393i</v>
      </c>
      <c r="EG124" s="1" t="str">
        <f t="shared" si="29"/>
        <v>9.222621+2.694828i</v>
      </c>
      <c r="FN124" s="1">
        <f t="shared" si="32"/>
        <v>24.8</v>
      </c>
      <c r="FO124" s="1">
        <f t="shared" si="33"/>
        <v>9.659664182917437</v>
      </c>
    </row>
    <row r="125" spans="2:171" ht="18" customHeight="1" x14ac:dyDescent="0.25">
      <c r="B125" s="6"/>
      <c r="D125" s="98">
        <f t="shared" si="35"/>
        <v>25</v>
      </c>
      <c r="E125" s="99"/>
      <c r="F125" s="99"/>
      <c r="G125" s="99"/>
      <c r="H125" s="100">
        <f t="shared" si="36"/>
        <v>5.5708601453115563</v>
      </c>
      <c r="I125" s="101"/>
      <c r="J125" s="101"/>
      <c r="K125" s="101"/>
      <c r="V125" s="35" t="s">
        <v>148</v>
      </c>
      <c r="W125" s="104" t="s">
        <v>149</v>
      </c>
      <c r="X125" s="104"/>
      <c r="Y125" s="104"/>
      <c r="Z125" s="104"/>
      <c r="AA125" s="104"/>
      <c r="AB125" s="104"/>
      <c r="AC125" s="104"/>
      <c r="AD125" s="104"/>
      <c r="AE125" s="104"/>
      <c r="AP125" s="8"/>
      <c r="AR125" s="6"/>
      <c r="CF125" s="8"/>
      <c r="DW125" s="1">
        <f t="shared" si="31"/>
        <v>24.4</v>
      </c>
      <c r="DX125" s="12" t="str">
        <f t="shared" si="23"/>
        <v>0.0001-1.106421i</v>
      </c>
      <c r="DY125" s="13" t="str">
        <f t="shared" si="34"/>
        <v>0.000000001</v>
      </c>
      <c r="DZ125" s="13" t="str">
        <f t="shared" si="30"/>
        <v>0.010799+26.348764i</v>
      </c>
      <c r="EA125" s="14" t="str">
        <f t="shared" si="24"/>
        <v>10.798674+0.0001i</v>
      </c>
      <c r="EC125" s="1" t="str">
        <f t="shared" si="25"/>
        <v>0.010799+26.348764i</v>
      </c>
      <c r="ED125" s="1" t="str">
        <f t="shared" si="26"/>
        <v>0.11398+284.531714i</v>
      </c>
      <c r="EE125" s="1" t="str">
        <f t="shared" si="27"/>
        <v>10.809473+26.348864i</v>
      </c>
      <c r="EF125" s="1" t="str">
        <f t="shared" si="28"/>
        <v>9.244546+3.788197i</v>
      </c>
      <c r="EG125" s="1" t="str">
        <f t="shared" si="29"/>
        <v>9.244646+2.681776i</v>
      </c>
      <c r="FN125" s="1">
        <f t="shared" si="32"/>
        <v>25</v>
      </c>
      <c r="FO125" s="1">
        <f t="shared" si="33"/>
        <v>9.676082259246094</v>
      </c>
    </row>
    <row r="126" spans="2:171" ht="18" customHeight="1" x14ac:dyDescent="0.25">
      <c r="B126" s="6"/>
      <c r="D126" s="98">
        <f t="shared" si="35"/>
        <v>29</v>
      </c>
      <c r="E126" s="99"/>
      <c r="F126" s="99"/>
      <c r="G126" s="99"/>
      <c r="H126" s="100">
        <f t="shared" si="36"/>
        <v>0</v>
      </c>
      <c r="I126" s="101"/>
      <c r="J126" s="101"/>
      <c r="K126" s="101"/>
      <c r="V126" s="35" t="s">
        <v>150</v>
      </c>
      <c r="W126" s="104" t="s">
        <v>151</v>
      </c>
      <c r="X126" s="104"/>
      <c r="Y126" s="104"/>
      <c r="Z126" s="104"/>
      <c r="AA126" s="104"/>
      <c r="AB126" s="104"/>
      <c r="AC126" s="104"/>
      <c r="AD126" s="104"/>
      <c r="AE126" s="104"/>
      <c r="AP126" s="8"/>
      <c r="AR126" s="6"/>
      <c r="CF126" s="8"/>
      <c r="DW126" s="1">
        <f t="shared" si="31"/>
        <v>24.6</v>
      </c>
      <c r="DX126" s="12" t="str">
        <f t="shared" si="23"/>
        <v>0.0001-1.097426i</v>
      </c>
      <c r="DY126" s="13" t="str">
        <f t="shared" si="34"/>
        <v>0.000000001</v>
      </c>
      <c r="DZ126" s="13" t="str">
        <f t="shared" si="30"/>
        <v>0.010799+26.564737i</v>
      </c>
      <c r="EA126" s="14" t="str">
        <f t="shared" si="24"/>
        <v>10.798674+0.0001i</v>
      </c>
      <c r="EC126" s="1" t="str">
        <f t="shared" si="25"/>
        <v>0.010799+26.564737i</v>
      </c>
      <c r="ED126" s="1" t="str">
        <f t="shared" si="26"/>
        <v>0.113958+286.863936i</v>
      </c>
      <c r="EE126" s="1" t="str">
        <f t="shared" si="27"/>
        <v>10.809473+26.564837i</v>
      </c>
      <c r="EF126" s="1" t="str">
        <f t="shared" si="28"/>
        <v>9.266138+3.766186i</v>
      </c>
      <c r="EG126" s="1" t="str">
        <f t="shared" si="29"/>
        <v>9.266238+2.66876i</v>
      </c>
      <c r="FN126" s="1">
        <f t="shared" si="32"/>
        <v>25.2</v>
      </c>
      <c r="FO126" s="1">
        <f t="shared" si="33"/>
        <v>9.6921582951376219</v>
      </c>
    </row>
    <row r="127" spans="2:171" ht="18" customHeight="1" x14ac:dyDescent="0.25">
      <c r="B127" s="6"/>
      <c r="D127" s="98">
        <f t="shared" si="35"/>
        <v>31</v>
      </c>
      <c r="E127" s="99"/>
      <c r="F127" s="99"/>
      <c r="G127" s="99"/>
      <c r="H127" s="100">
        <f t="shared" si="36"/>
        <v>0</v>
      </c>
      <c r="I127" s="101"/>
      <c r="J127" s="101"/>
      <c r="K127" s="101"/>
      <c r="V127" s="35" t="s">
        <v>152</v>
      </c>
      <c r="W127" s="104" t="s">
        <v>153</v>
      </c>
      <c r="X127" s="104"/>
      <c r="Y127" s="104"/>
      <c r="Z127" s="104"/>
      <c r="AA127" s="104"/>
      <c r="AB127" s="104"/>
      <c r="AC127" s="104"/>
      <c r="AD127" s="104"/>
      <c r="AE127" s="104"/>
      <c r="AP127" s="8"/>
      <c r="AR127" s="6"/>
      <c r="CF127" s="8"/>
      <c r="DW127" s="1">
        <f t="shared" si="31"/>
        <v>24.8</v>
      </c>
      <c r="DX127" s="12" t="str">
        <f t="shared" si="23"/>
        <v>0.0001-1.088576i</v>
      </c>
      <c r="DY127" s="13" t="str">
        <f t="shared" si="34"/>
        <v>0.000000001</v>
      </c>
      <c r="DZ127" s="13" t="str">
        <f t="shared" si="30"/>
        <v>0.010799+26.780711i</v>
      </c>
      <c r="EA127" s="14" t="str">
        <f t="shared" si="24"/>
        <v>10.798674+0.0001i</v>
      </c>
      <c r="EC127" s="1" t="str">
        <f t="shared" si="25"/>
        <v>0.010799+26.780711i</v>
      </c>
      <c r="ED127" s="1" t="str">
        <f t="shared" si="26"/>
        <v>0.113937+289.196169i</v>
      </c>
      <c r="EE127" s="1" t="str">
        <f t="shared" si="27"/>
        <v>10.809473+26.780811i</v>
      </c>
      <c r="EF127" s="1" t="str">
        <f t="shared" si="28"/>
        <v>9.287307+3.744359i</v>
      </c>
      <c r="EG127" s="1" t="str">
        <f t="shared" si="29"/>
        <v>9.287407+2.655783i</v>
      </c>
      <c r="FN127" s="1">
        <f t="shared" si="32"/>
        <v>25.4</v>
      </c>
      <c r="FO127" s="1">
        <f t="shared" si="33"/>
        <v>9.7079032203830717</v>
      </c>
    </row>
    <row r="128" spans="2:171" ht="18" customHeight="1" x14ac:dyDescent="0.25">
      <c r="B128" s="6"/>
      <c r="D128" s="98">
        <f t="shared" si="35"/>
        <v>35</v>
      </c>
      <c r="E128" s="99"/>
      <c r="F128" s="99"/>
      <c r="G128" s="99"/>
      <c r="H128" s="100">
        <f t="shared" si="36"/>
        <v>4.1208169184606707</v>
      </c>
      <c r="I128" s="101"/>
      <c r="J128" s="101"/>
      <c r="K128" s="101"/>
      <c r="AP128" s="8"/>
      <c r="AR128" s="6"/>
      <c r="CF128" s="8"/>
      <c r="DW128" s="1">
        <f t="shared" si="31"/>
        <v>25</v>
      </c>
      <c r="DX128" s="12" t="str">
        <f t="shared" si="23"/>
        <v>0.0001-1.079867i</v>
      </c>
      <c r="DY128" s="13" t="str">
        <f t="shared" si="34"/>
        <v>0.000000001</v>
      </c>
      <c r="DZ128" s="13" t="str">
        <f t="shared" si="30"/>
        <v>0.010799+26.996684i</v>
      </c>
      <c r="EA128" s="14" t="str">
        <f t="shared" si="24"/>
        <v>10.798674+0.0001i</v>
      </c>
      <c r="EC128" s="1" t="str">
        <f t="shared" si="25"/>
        <v>0.010799+26.996684i</v>
      </c>
      <c r="ED128" s="1" t="str">
        <f t="shared" si="26"/>
        <v>0.113915+291.528391i</v>
      </c>
      <c r="EE128" s="1" t="str">
        <f t="shared" si="27"/>
        <v>10.809473+26.996784i</v>
      </c>
      <c r="EF128" s="1" t="str">
        <f t="shared" si="28"/>
        <v>9.308064+3.722716i</v>
      </c>
      <c r="EG128" s="1" t="str">
        <f t="shared" si="29"/>
        <v>9.308164+2.642849i</v>
      </c>
      <c r="FN128" s="1">
        <f t="shared" si="32"/>
        <v>25.6</v>
      </c>
      <c r="FO128" s="1">
        <f t="shared" si="33"/>
        <v>9.7233245462447151</v>
      </c>
    </row>
    <row r="129" spans="2:171" ht="18" customHeight="1" x14ac:dyDescent="0.25">
      <c r="B129" s="6"/>
      <c r="D129" s="98">
        <f t="shared" si="35"/>
        <v>37</v>
      </c>
      <c r="E129" s="99"/>
      <c r="F129" s="99"/>
      <c r="G129" s="99"/>
      <c r="H129" s="100">
        <f t="shared" si="36"/>
        <v>3.9136353771416208</v>
      </c>
      <c r="I129" s="101"/>
      <c r="J129" s="101"/>
      <c r="K129" s="101"/>
      <c r="AP129" s="8"/>
      <c r="AR129" s="6"/>
      <c r="CF129" s="8"/>
      <c r="DW129" s="1">
        <f t="shared" si="31"/>
        <v>25.2</v>
      </c>
      <c r="DX129" s="12" t="str">
        <f t="shared" si="23"/>
        <v>0.0001-1.071297i</v>
      </c>
      <c r="DY129" s="13" t="str">
        <f t="shared" si="34"/>
        <v>0.000000001</v>
      </c>
      <c r="DZ129" s="13" t="str">
        <f t="shared" si="30"/>
        <v>0.010799+27.212658i</v>
      </c>
      <c r="EA129" s="14" t="str">
        <f t="shared" si="24"/>
        <v>10.798674+0.0001i</v>
      </c>
      <c r="EC129" s="1" t="str">
        <f t="shared" si="25"/>
        <v>0.010799+27.212658i</v>
      </c>
      <c r="ED129" s="1" t="str">
        <f t="shared" si="26"/>
        <v>0.113894+293.860623i</v>
      </c>
      <c r="EE129" s="1" t="str">
        <f t="shared" si="27"/>
        <v>10.809473+27.212758i</v>
      </c>
      <c r="EF129" s="1" t="str">
        <f t="shared" si="28"/>
        <v>9.328418+3.701256i</v>
      </c>
      <c r="EG129" s="1" t="str">
        <f t="shared" si="29"/>
        <v>9.328518+2.629959i</v>
      </c>
      <c r="FN129" s="1">
        <f t="shared" si="32"/>
        <v>25.8</v>
      </c>
      <c r="FO129" s="1">
        <f t="shared" si="33"/>
        <v>9.7384309285997404</v>
      </c>
    </row>
    <row r="130" spans="2:171" ht="18" customHeight="1" x14ac:dyDescent="0.25">
      <c r="B130" s="6"/>
      <c r="D130" s="102" t="s">
        <v>154</v>
      </c>
      <c r="E130" s="102"/>
      <c r="F130" s="102"/>
      <c r="G130" s="102"/>
      <c r="H130" s="103">
        <f>EK21</f>
        <v>452.52931159369007</v>
      </c>
      <c r="I130" s="103"/>
      <c r="J130" s="103"/>
      <c r="K130" s="103"/>
      <c r="AP130" s="8"/>
      <c r="AR130" s="6"/>
      <c r="CF130" s="8"/>
      <c r="DW130" s="1">
        <f t="shared" si="31"/>
        <v>25.4</v>
      </c>
      <c r="DX130" s="12" t="str">
        <f t="shared" si="23"/>
        <v>0.0001-1.062862i</v>
      </c>
      <c r="DY130" s="13" t="str">
        <f t="shared" si="34"/>
        <v>0.000000001</v>
      </c>
      <c r="DZ130" s="13" t="str">
        <f t="shared" si="30"/>
        <v>0.010799+27.428631i</v>
      </c>
      <c r="EA130" s="14" t="str">
        <f t="shared" si="24"/>
        <v>10.798674+0.0001i</v>
      </c>
      <c r="EC130" s="1" t="str">
        <f t="shared" si="25"/>
        <v>0.010799+27.428631i</v>
      </c>
      <c r="ED130" s="1" t="str">
        <f t="shared" si="26"/>
        <v>0.113872+296.192846i</v>
      </c>
      <c r="EE130" s="1" t="str">
        <f t="shared" si="27"/>
        <v>10.809473+27.428731i</v>
      </c>
      <c r="EF130" s="1" t="str">
        <f t="shared" si="28"/>
        <v>9.34838+3.67998i</v>
      </c>
      <c r="EG130" s="1" t="str">
        <f t="shared" si="29"/>
        <v>9.34848+2.617118i</v>
      </c>
      <c r="FN130" s="1">
        <f t="shared" si="32"/>
        <v>26</v>
      </c>
      <c r="FO130" s="1">
        <f t="shared" si="33"/>
        <v>9.7532308908536045</v>
      </c>
    </row>
    <row r="131" spans="2:171" ht="18" customHeight="1" x14ac:dyDescent="0.25">
      <c r="B131" s="6"/>
      <c r="C131" s="81" t="s">
        <v>155</v>
      </c>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
      <c r="AR131" s="6"/>
      <c r="CF131" s="8"/>
      <c r="DW131" s="1">
        <f t="shared" si="31"/>
        <v>25.6</v>
      </c>
      <c r="DX131" s="12" t="str">
        <f t="shared" si="23"/>
        <v>0.0001-1.054558i</v>
      </c>
      <c r="DY131" s="13" t="str">
        <f t="shared" si="34"/>
        <v>0.000000001</v>
      </c>
      <c r="DZ131" s="13" t="str">
        <f t="shared" si="30"/>
        <v>0.010799+27.644604i</v>
      </c>
      <c r="EA131" s="14" t="str">
        <f t="shared" si="24"/>
        <v>10.798674+0.0001i</v>
      </c>
      <c r="EC131" s="1" t="str">
        <f t="shared" si="25"/>
        <v>0.010799+27.644604i</v>
      </c>
      <c r="ED131" s="1" t="str">
        <f t="shared" si="26"/>
        <v>0.11385+298.525068i</v>
      </c>
      <c r="EE131" s="1" t="str">
        <f t="shared" si="27"/>
        <v>10.809473+27.644704i</v>
      </c>
      <c r="EF131" s="1" t="str">
        <f t="shared" si="28"/>
        <v>9.367958+3.658887i</v>
      </c>
      <c r="EG131" s="1" t="str">
        <f t="shared" si="29"/>
        <v>9.368058+2.604329i</v>
      </c>
      <c r="FN131" s="1">
        <f t="shared" si="32"/>
        <v>26.2</v>
      </c>
      <c r="FO131" s="1">
        <f t="shared" si="33"/>
        <v>9.7677329717213279</v>
      </c>
    </row>
    <row r="132" spans="2:171" ht="18" customHeight="1" x14ac:dyDescent="0.25">
      <c r="B132" s="6"/>
      <c r="C132" s="95" t="str">
        <f xml:space="preserve"> "A quantity of " &amp; ROUND(3*S29,0) &amp; ", " &amp; ROUND(AJ28,0) &amp; " kvar, " &amp; W116 &amp; " kV BIL, " &amp; S20 &amp; _xlfn._LONGTEXT(" Hertz, all-film, low-loss, double-bushing capacitors designed, manufactured, and tested to applicable IEEE/ANSI and IEC standards, supplied by Cooper, GE, or Hitachi (no others), are required. The capacitors shall be connected unground-wye and shall have"," applicable over-voltage and blown-fuse protection.")</f>
        <v>A quantity of 15, 735 kvar, 95 kV BIL, 60 Hertz, all-film, low-loss, double-bushing capacitors designed, manufactured, and tested to applicable IEEE/ANSI and IEC standards, supplied by Cooper, GE, or Hitachi (no others), are required. The capacitors shall be connected unground-wye and shall have applicable over-voltage and blown-fuse protection.</v>
      </c>
      <c r="D132" s="95"/>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27"/>
      <c r="AR132" s="6"/>
      <c r="CF132" s="8"/>
      <c r="DW132" s="1">
        <f t="shared" si="31"/>
        <v>25.8</v>
      </c>
      <c r="DX132" s="12" t="str">
        <f t="shared" si="23"/>
        <v>0.0001-1.046383i</v>
      </c>
      <c r="DY132" s="13" t="str">
        <f t="shared" si="34"/>
        <v>0.000000001</v>
      </c>
      <c r="DZ132" s="13" t="str">
        <f t="shared" si="30"/>
        <v>0.010799+27.860578i</v>
      </c>
      <c r="EA132" s="14" t="str">
        <f t="shared" si="24"/>
        <v>10.798674+0.0001i</v>
      </c>
      <c r="EC132" s="1" t="str">
        <f t="shared" si="25"/>
        <v>0.010799+27.860578i</v>
      </c>
      <c r="ED132" s="1" t="str">
        <f t="shared" si="26"/>
        <v>0.113829+300.8573i</v>
      </c>
      <c r="EE132" s="1" t="str">
        <f t="shared" si="27"/>
        <v>10.809473+27.860678i</v>
      </c>
      <c r="EF132" s="1" t="str">
        <f t="shared" si="28"/>
        <v>9.387162+3.637975i</v>
      </c>
      <c r="EG132" s="1" t="str">
        <f t="shared" si="29"/>
        <v>9.387262+2.591592i</v>
      </c>
      <c r="FN132" s="1">
        <f t="shared" si="32"/>
        <v>26.4</v>
      </c>
      <c r="FO132" s="1">
        <f t="shared" si="33"/>
        <v>9.7819432718333115</v>
      </c>
    </row>
    <row r="133" spans="2:171" ht="18" customHeight="1" x14ac:dyDescent="0.25">
      <c r="B133" s="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8"/>
      <c r="AR133" s="6"/>
      <c r="CF133" s="8"/>
      <c r="DW133" s="1">
        <f t="shared" si="31"/>
        <v>26</v>
      </c>
      <c r="DX133" s="12" t="str">
        <f t="shared" si="23"/>
        <v>0.0001-1.038334i</v>
      </c>
      <c r="DY133" s="13" t="str">
        <f t="shared" si="34"/>
        <v>0.000000001</v>
      </c>
      <c r="DZ133" s="13" t="str">
        <f t="shared" si="30"/>
        <v>0.010799+28.076551i</v>
      </c>
      <c r="EA133" s="14" t="str">
        <f t="shared" si="24"/>
        <v>10.798674+0.0001i</v>
      </c>
      <c r="EC133" s="1" t="str">
        <f t="shared" si="25"/>
        <v>0.010799+28.076551i</v>
      </c>
      <c r="ED133" s="1" t="str">
        <f t="shared" si="26"/>
        <v>0.113807+303.189522i</v>
      </c>
      <c r="EE133" s="1" t="str">
        <f t="shared" si="27"/>
        <v>10.809473+28.076651i</v>
      </c>
      <c r="EF133" s="1" t="str">
        <f t="shared" si="28"/>
        <v>9.406001+3.617244i</v>
      </c>
      <c r="EG133" s="1" t="str">
        <f t="shared" si="29"/>
        <v>9.406101+2.57891i</v>
      </c>
      <c r="FN133" s="1">
        <f t="shared" si="32"/>
        <v>26.6</v>
      </c>
      <c r="FO133" s="1">
        <f t="shared" si="33"/>
        <v>9.7958713316730019</v>
      </c>
    </row>
    <row r="134" spans="2:171" ht="18" customHeight="1" x14ac:dyDescent="0.25">
      <c r="B134" s="6"/>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8"/>
      <c r="AR134" s="6"/>
      <c r="CF134" s="8"/>
      <c r="DW134" s="1">
        <f t="shared" si="31"/>
        <v>26.2</v>
      </c>
      <c r="DX134" s="12" t="str">
        <f t="shared" ref="DX134:DX197" si="37">COMPLEX(ROUND(0.0001,6),ROUND(-$AJ$30/DW134,6))</f>
        <v>0.0001-1.030408i</v>
      </c>
      <c r="DY134" s="13" t="str">
        <f t="shared" si="34"/>
        <v>0.000000001</v>
      </c>
      <c r="DZ134" s="13" t="str">
        <f t="shared" si="30"/>
        <v>0.010799+28.292525i</v>
      </c>
      <c r="EA134" s="14" t="str">
        <f t="shared" ref="EA134:EA197" si="38">COMPLEX(ROUND($AJ$40,6),ROUND(0.0001,6))</f>
        <v>10.798674+0.0001i</v>
      </c>
      <c r="EC134" s="1" t="str">
        <f t="shared" ref="EC134:EC197" si="39">COMPLEX(ROUND(IMREAL(IMSUM(DZ134,DY134)),6),ROUND(IMAGINARY(IMSUM(DZ134,DY134)),6))</f>
        <v>0.010799+28.292525i</v>
      </c>
      <c r="ED134" s="1" t="str">
        <f t="shared" ref="ED134:ED197" si="40">COMPLEX(ROUND(IMREAL(IMPRODUCT(EC134,EA134)),6),ROUND(IMAGINARY(IMPRODUCT(EC134,EA134)),6))</f>
        <v>0.113786+305.521755i</v>
      </c>
      <c r="EE134" s="1" t="str">
        <f t="shared" ref="EE134:EE197" si="41">COMPLEX(ROUND(IMREAL(IMSUM(EA134,EC134)),6),ROUND(IMAGINARY(IMSUM(EA134,EC134)),6))</f>
        <v>10.809473+28.292625i</v>
      </c>
      <c r="EF134" s="1" t="str">
        <f t="shared" ref="EF134:EF197" si="42">COMPLEX(ROUND(IMREAL(IMDIV(ED134,EE134)),6),ROUND(IMAGINARY(IMDIV(ED134,EE134)),6))</f>
        <v>9.424484+3.596694i</v>
      </c>
      <c r="EG134" s="1" t="str">
        <f t="shared" ref="EG134:EG197" si="43">COMPLEX(ROUND(IMREAL(IMSUM(EF134,DX134)),6),ROUND(IMAGINARY(IMSUM(EF134,DX134)),6))</f>
        <v>9.424584+2.566286i</v>
      </c>
      <c r="FN134" s="1">
        <f t="shared" si="32"/>
        <v>26.8</v>
      </c>
      <c r="FO134" s="1">
        <f t="shared" si="33"/>
        <v>9.8095230349036324</v>
      </c>
    </row>
    <row r="135" spans="2:171" ht="18" customHeight="1" x14ac:dyDescent="0.25">
      <c r="B135" s="6"/>
      <c r="C135" s="96"/>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6"/>
      <c r="AM135" s="96"/>
      <c r="AN135" s="96"/>
      <c r="AO135" s="96"/>
      <c r="AP135" s="8"/>
      <c r="AR135" s="6"/>
      <c r="CF135" s="8"/>
      <c r="DW135" s="1">
        <f t="shared" si="31"/>
        <v>26.4</v>
      </c>
      <c r="DX135" s="12" t="str">
        <f t="shared" si="37"/>
        <v>0.0001-1.022602i</v>
      </c>
      <c r="DY135" s="13" t="str">
        <f t="shared" si="34"/>
        <v>0.000000001</v>
      </c>
      <c r="DZ135" s="13" t="str">
        <f t="shared" ref="DZ135:DZ198" si="44">COMPLEX(ROUND($AJ$34/$S$34,6),ROUND($AJ$34*DW135,6))</f>
        <v>0.010799+28.508498i</v>
      </c>
      <c r="EA135" s="14" t="str">
        <f t="shared" si="38"/>
        <v>10.798674+0.0001i</v>
      </c>
      <c r="EC135" s="1" t="str">
        <f t="shared" si="39"/>
        <v>0.010799+28.508498i</v>
      </c>
      <c r="ED135" s="1" t="str">
        <f t="shared" si="40"/>
        <v>0.113764+307.853977i</v>
      </c>
      <c r="EE135" s="1" t="str">
        <f t="shared" si="41"/>
        <v>10.809473+28.508598i</v>
      </c>
      <c r="EF135" s="1" t="str">
        <f t="shared" si="42"/>
        <v>9.442618+3.576323i</v>
      </c>
      <c r="EG135" s="1" t="str">
        <f t="shared" si="43"/>
        <v>9.442718+2.553721i</v>
      </c>
      <c r="FN135" s="1">
        <f t="shared" si="32"/>
        <v>27</v>
      </c>
      <c r="FO135" s="1">
        <f t="shared" si="33"/>
        <v>9.8229048062676441</v>
      </c>
    </row>
    <row r="136" spans="2:171" ht="18" customHeight="1" x14ac:dyDescent="0.25">
      <c r="B136" s="6"/>
      <c r="C136" s="81" t="s">
        <v>350</v>
      </c>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81"/>
      <c r="AI136" s="81"/>
      <c r="AJ136" s="81"/>
      <c r="AK136" s="81"/>
      <c r="AL136" s="81"/>
      <c r="AM136" s="81"/>
      <c r="AN136" s="81"/>
      <c r="AO136" s="81"/>
      <c r="AP136" s="8"/>
      <c r="AR136" s="6"/>
      <c r="CF136" s="8"/>
      <c r="DW136" s="1">
        <f t="shared" ref="DW136:DW199" si="45">ROUND(DW135+0.2,1)</f>
        <v>26.6</v>
      </c>
      <c r="DX136" s="12" t="str">
        <f t="shared" si="37"/>
        <v>0.0001-1.014913i</v>
      </c>
      <c r="DY136" s="13" t="str">
        <f t="shared" si="34"/>
        <v>0.000000001</v>
      </c>
      <c r="DZ136" s="13" t="str">
        <f t="shared" si="44"/>
        <v>0.010799+28.724472i</v>
      </c>
      <c r="EA136" s="14" t="str">
        <f t="shared" si="38"/>
        <v>10.798674+0.0001i</v>
      </c>
      <c r="EC136" s="1" t="str">
        <f t="shared" si="39"/>
        <v>0.010799+28.724472i</v>
      </c>
      <c r="ED136" s="1" t="str">
        <f t="shared" si="40"/>
        <v>0.113742+310.18621i</v>
      </c>
      <c r="EE136" s="1" t="str">
        <f t="shared" si="41"/>
        <v>10.809473+28.724572i</v>
      </c>
      <c r="EF136" s="1" t="str">
        <f t="shared" si="42"/>
        <v>9.460413+3.556131i</v>
      </c>
      <c r="EG136" s="1" t="str">
        <f t="shared" si="43"/>
        <v>9.460513+2.541218i</v>
      </c>
      <c r="FN136" s="1">
        <f t="shared" si="32"/>
        <v>27.2</v>
      </c>
      <c r="FO136" s="1">
        <f t="shared" si="33"/>
        <v>9.8360250196925083</v>
      </c>
    </row>
    <row r="137" spans="2:171" ht="18" customHeight="1" x14ac:dyDescent="0.25">
      <c r="B137" s="6"/>
      <c r="C137" s="96" t="str">
        <f>"A quantity of 3 stainless steel grid resistors shall be provided. Each resistor shall have an ohmic value per phase of "&amp;ROUND(AJ40,2)&amp;" ohms, a continuous power rating of "&amp;ROUND(S39,2)&amp;" kW, and an RMS current rating of "&amp;ROUND(O41,2)&amp;" amps. The resistor element shall be divided into "&amp;ROUNDUP(S17/(1.73*5),0)&amp;" series groups to ensure adequate withstand voltage during switching transients, with the overall BIL rating coordinated to "&amp;W116&amp;" kV. "</f>
        <v xml:space="preserve">A quantity of 3 stainless steel grid resistors shall be provided. Each resistor shall have an ohmic value per phase of 10.8 ohms, a continuous power rating of 100 kW, and an RMS current rating of 96.23 amps. The resistor element shall be divided into 2 series groups to ensure adequate withstand voltage during switching transients, with the overall BIL rating coordinated to 95 kV. </v>
      </c>
      <c r="D137" s="96"/>
      <c r="E137" s="96"/>
      <c r="F137" s="96"/>
      <c r="G137" s="96"/>
      <c r="H137" s="96"/>
      <c r="I137" s="96"/>
      <c r="J137" s="96"/>
      <c r="K137" s="96"/>
      <c r="L137" s="96"/>
      <c r="M137" s="96"/>
      <c r="N137" s="96"/>
      <c r="O137" s="96"/>
      <c r="P137" s="96"/>
      <c r="Q137" s="96"/>
      <c r="R137" s="96"/>
      <c r="S137" s="96"/>
      <c r="T137" s="96"/>
      <c r="U137" s="96"/>
      <c r="V137" s="96"/>
      <c r="W137" s="96"/>
      <c r="X137" s="96"/>
      <c r="Y137" s="96"/>
      <c r="Z137" s="96"/>
      <c r="AA137" s="96"/>
      <c r="AB137" s="96"/>
      <c r="AC137" s="96"/>
      <c r="AD137" s="96"/>
      <c r="AE137" s="96"/>
      <c r="AF137" s="96"/>
      <c r="AG137" s="96"/>
      <c r="AH137" s="96"/>
      <c r="AI137" s="96"/>
      <c r="AJ137" s="96"/>
      <c r="AK137" s="96"/>
      <c r="AL137" s="96"/>
      <c r="AM137" s="96"/>
      <c r="AN137" s="96"/>
      <c r="AO137" s="96"/>
      <c r="AP137" s="8"/>
      <c r="AR137" s="6"/>
      <c r="CF137" s="8"/>
      <c r="DW137" s="1">
        <f t="shared" si="45"/>
        <v>26.8</v>
      </c>
      <c r="DX137" s="12" t="str">
        <f t="shared" si="37"/>
        <v>0.0001-1.007339i</v>
      </c>
      <c r="DY137" s="13" t="str">
        <f t="shared" si="34"/>
        <v>0.000000001</v>
      </c>
      <c r="DZ137" s="13" t="str">
        <f t="shared" si="44"/>
        <v>0.010799+28.940445i</v>
      </c>
      <c r="EA137" s="14" t="str">
        <f t="shared" si="38"/>
        <v>10.798674+0.0001i</v>
      </c>
      <c r="EC137" s="1" t="str">
        <f t="shared" si="39"/>
        <v>0.010799+28.940445i</v>
      </c>
      <c r="ED137" s="1" t="str">
        <f t="shared" si="40"/>
        <v>0.113721+312.518432i</v>
      </c>
      <c r="EE137" s="1" t="str">
        <f t="shared" si="41"/>
        <v>10.809473+28.940545i</v>
      </c>
      <c r="EF137" s="1" t="str">
        <f t="shared" si="42"/>
        <v>9.477876+3.536116i</v>
      </c>
      <c r="EG137" s="1" t="str">
        <f t="shared" si="43"/>
        <v>9.477976+2.528777i</v>
      </c>
      <c r="FN137" s="1">
        <f t="shared" si="32"/>
        <v>27.4</v>
      </c>
      <c r="FO137" s="1">
        <f t="shared" si="33"/>
        <v>9.8488896260409486</v>
      </c>
    </row>
    <row r="138" spans="2:171" ht="18" customHeight="1" x14ac:dyDescent="0.25">
      <c r="B138" s="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6"/>
      <c r="AM138" s="96"/>
      <c r="AN138" s="96"/>
      <c r="AO138" s="96"/>
      <c r="AP138" s="8"/>
      <c r="AR138" s="6"/>
      <c r="CF138" s="8"/>
      <c r="DW138" s="1">
        <f t="shared" si="45"/>
        <v>27</v>
      </c>
      <c r="DX138" s="12" t="str">
        <f t="shared" si="37"/>
        <v>0.0001-0.999877i</v>
      </c>
      <c r="DY138" s="13" t="str">
        <f t="shared" si="34"/>
        <v>0.000000001</v>
      </c>
      <c r="DZ138" s="13" t="str">
        <f t="shared" si="44"/>
        <v>0.010799+29.156419i</v>
      </c>
      <c r="EA138" s="14" t="str">
        <f t="shared" si="38"/>
        <v>10.798674+0.0001i</v>
      </c>
      <c r="EC138" s="1" t="str">
        <f t="shared" si="39"/>
        <v>0.010799+29.156419i</v>
      </c>
      <c r="ED138" s="1" t="str">
        <f t="shared" si="40"/>
        <v>0.113699+314.850665i</v>
      </c>
      <c r="EE138" s="1" t="str">
        <f t="shared" si="41"/>
        <v>10.809473+29.156519i</v>
      </c>
      <c r="EF138" s="1" t="str">
        <f t="shared" si="42"/>
        <v>9.495014+3.516277i</v>
      </c>
      <c r="EG138" s="1" t="str">
        <f t="shared" si="43"/>
        <v>9.495114+2.5164i</v>
      </c>
      <c r="FN138" s="1">
        <f t="shared" si="32"/>
        <v>27.6</v>
      </c>
      <c r="FO138" s="1">
        <f t="shared" si="33"/>
        <v>9.8615051055348033</v>
      </c>
    </row>
    <row r="139" spans="2:171" ht="18" customHeight="1" x14ac:dyDescent="0.25">
      <c r="B139" s="6"/>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8"/>
      <c r="AR139" s="6"/>
      <c r="CF139" s="8"/>
      <c r="DW139" s="1">
        <f t="shared" si="45"/>
        <v>27.2</v>
      </c>
      <c r="DX139" s="12" t="str">
        <f t="shared" si="37"/>
        <v>0.0001-0.992525i</v>
      </c>
      <c r="DY139" s="13" t="str">
        <f t="shared" si="34"/>
        <v>0.000000001</v>
      </c>
      <c r="DZ139" s="13" t="str">
        <f t="shared" si="44"/>
        <v>0.010799+29.372392i</v>
      </c>
      <c r="EA139" s="14" t="str">
        <f t="shared" si="38"/>
        <v>10.798674+0.0001i</v>
      </c>
      <c r="EC139" s="1" t="str">
        <f t="shared" si="39"/>
        <v>0.010799+29.372392i</v>
      </c>
      <c r="ED139" s="1" t="str">
        <f t="shared" si="40"/>
        <v>0.113678+317.182887i</v>
      </c>
      <c r="EE139" s="1" t="str">
        <f t="shared" si="41"/>
        <v>10.809473+29.372492i</v>
      </c>
      <c r="EF139" s="1" t="str">
        <f t="shared" si="42"/>
        <v>9.511836+3.496614i</v>
      </c>
      <c r="EG139" s="1" t="str">
        <f t="shared" si="43"/>
        <v>9.511936+2.504089i</v>
      </c>
      <c r="FN139" s="1">
        <f t="shared" si="32"/>
        <v>27.8</v>
      </c>
      <c r="FO139" s="1">
        <f t="shared" si="33"/>
        <v>9.8738777018077837</v>
      </c>
    </row>
    <row r="140" spans="2:171" ht="18" customHeight="1" x14ac:dyDescent="0.25">
      <c r="B140" s="6"/>
      <c r="C140" s="96"/>
      <c r="D140" s="96"/>
      <c r="E140" s="96"/>
      <c r="F140" s="96"/>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6"/>
      <c r="AM140" s="96"/>
      <c r="AN140" s="96"/>
      <c r="AO140" s="96"/>
      <c r="AP140" s="8"/>
      <c r="AR140" s="6"/>
      <c r="CF140" s="8"/>
      <c r="DW140" s="1">
        <f t="shared" si="45"/>
        <v>27.4</v>
      </c>
      <c r="DX140" s="12" t="str">
        <f t="shared" si="37"/>
        <v>0.0001-0.98528i</v>
      </c>
      <c r="DY140" s="13" t="str">
        <f t="shared" si="34"/>
        <v>0.000000001</v>
      </c>
      <c r="DZ140" s="13" t="str">
        <f t="shared" si="44"/>
        <v>0.010799+29.588366i</v>
      </c>
      <c r="EA140" s="14" t="str">
        <f t="shared" si="38"/>
        <v>10.798674+0.0001i</v>
      </c>
      <c r="EC140" s="1" t="str">
        <f t="shared" si="39"/>
        <v>0.010799+29.588366i</v>
      </c>
      <c r="ED140" s="1" t="str">
        <f t="shared" si="40"/>
        <v>0.113656+319.51512i</v>
      </c>
      <c r="EE140" s="1" t="str">
        <f t="shared" si="41"/>
        <v>10.809473+29.588466i</v>
      </c>
      <c r="EF140" s="1" t="str">
        <f t="shared" si="42"/>
        <v>9.528349+3.477124i</v>
      </c>
      <c r="EG140" s="1" t="str">
        <f t="shared" si="43"/>
        <v>9.528449+2.491844i</v>
      </c>
      <c r="FN140" s="1">
        <f t="shared" si="32"/>
        <v>28</v>
      </c>
      <c r="FO140" s="1">
        <f t="shared" si="33"/>
        <v>9.8860129571881998</v>
      </c>
    </row>
    <row r="141" spans="2:171" ht="18" customHeight="1" x14ac:dyDescent="0.25">
      <c r="B141" s="6"/>
      <c r="C141" s="91" t="s">
        <v>217</v>
      </c>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8"/>
      <c r="AR141" s="6"/>
      <c r="CF141" s="8"/>
      <c r="DW141" s="1">
        <f t="shared" si="45"/>
        <v>27.6</v>
      </c>
      <c r="DX141" s="12" t="str">
        <f t="shared" si="37"/>
        <v>0.0001-0.978141i</v>
      </c>
      <c r="DY141" s="13" t="str">
        <f t="shared" si="34"/>
        <v>0.000000001</v>
      </c>
      <c r="DZ141" s="13" t="str">
        <f t="shared" si="44"/>
        <v>0.010799+29.804339i</v>
      </c>
      <c r="EA141" s="14" t="str">
        <f t="shared" si="38"/>
        <v>10.798674+0.0001i</v>
      </c>
      <c r="EC141" s="1" t="str">
        <f t="shared" si="39"/>
        <v>0.010799+29.804339i</v>
      </c>
      <c r="ED141" s="1" t="str">
        <f t="shared" si="40"/>
        <v>0.113634+321.847342i</v>
      </c>
      <c r="EE141" s="1" t="str">
        <f t="shared" si="41"/>
        <v>10.809473+29.804439i</v>
      </c>
      <c r="EF141" s="1" t="str">
        <f t="shared" si="42"/>
        <v>9.54456+3.457808i</v>
      </c>
      <c r="EG141" s="1" t="str">
        <f t="shared" si="43"/>
        <v>9.54466+2.479667i</v>
      </c>
      <c r="FN141" s="1">
        <f t="shared" si="32"/>
        <v>28.2</v>
      </c>
      <c r="FO141" s="1">
        <f t="shared" si="33"/>
        <v>9.8979176222792447</v>
      </c>
    </row>
    <row r="142" spans="2:171" ht="18" customHeight="1" x14ac:dyDescent="0.25">
      <c r="B142" s="6"/>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8"/>
      <c r="AR142" s="6"/>
      <c r="CF142" s="8"/>
      <c r="DW142" s="1">
        <f t="shared" si="45"/>
        <v>27.8</v>
      </c>
      <c r="DX142" s="12" t="str">
        <f t="shared" si="37"/>
        <v>0.0001-0.971104i</v>
      </c>
      <c r="DY142" s="13" t="str">
        <f t="shared" si="34"/>
        <v>0.000000001</v>
      </c>
      <c r="DZ142" s="13" t="str">
        <f t="shared" si="44"/>
        <v>0.010799+30.020313i</v>
      </c>
      <c r="EA142" s="14" t="str">
        <f t="shared" si="38"/>
        <v>10.798674+0.0001i</v>
      </c>
      <c r="EC142" s="1" t="str">
        <f t="shared" si="39"/>
        <v>0.010799+30.020313i</v>
      </c>
      <c r="ED142" s="1" t="str">
        <f t="shared" si="40"/>
        <v>0.113613+324.179575i</v>
      </c>
      <c r="EE142" s="1" t="str">
        <f t="shared" si="41"/>
        <v>10.809473+30.020413i</v>
      </c>
      <c r="EF142" s="1" t="str">
        <f t="shared" si="42"/>
        <v>9.560476+3.438663i</v>
      </c>
      <c r="EG142" s="1" t="str">
        <f t="shared" si="43"/>
        <v>9.560576+2.467559i</v>
      </c>
      <c r="FN142" s="1">
        <f t="shared" si="32"/>
        <v>28.4</v>
      </c>
      <c r="FO142" s="1">
        <f t="shared" si="33"/>
        <v>9.9095972763780882</v>
      </c>
    </row>
    <row r="143" spans="2:171" ht="18" customHeight="1" x14ac:dyDescent="0.25">
      <c r="B143" s="6"/>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8"/>
      <c r="AR143" s="6"/>
      <c r="CF143" s="8"/>
      <c r="DW143" s="1">
        <f t="shared" si="45"/>
        <v>28</v>
      </c>
      <c r="DX143" s="12" t="str">
        <f t="shared" si="37"/>
        <v>0.0001-0.964167i</v>
      </c>
      <c r="DY143" s="13" t="str">
        <f t="shared" si="34"/>
        <v>0.000000001</v>
      </c>
      <c r="DZ143" s="13" t="str">
        <f t="shared" si="44"/>
        <v>0.010799+30.236286i</v>
      </c>
      <c r="EA143" s="14" t="str">
        <f t="shared" si="38"/>
        <v>10.798674+0.0001i</v>
      </c>
      <c r="EC143" s="1" t="str">
        <f t="shared" si="39"/>
        <v>0.010799+30.236286i</v>
      </c>
      <c r="ED143" s="1" t="str">
        <f t="shared" si="40"/>
        <v>0.113591+326.511797i</v>
      </c>
      <c r="EE143" s="1" t="str">
        <f t="shared" si="41"/>
        <v>10.809473+30.236386i</v>
      </c>
      <c r="EF143" s="1" t="str">
        <f t="shared" si="42"/>
        <v>9.576103+3.419689i</v>
      </c>
      <c r="EG143" s="1" t="str">
        <f t="shared" si="43"/>
        <v>9.576203+2.455522i</v>
      </c>
      <c r="FN143" s="1">
        <f t="shared" si="32"/>
        <v>28.6</v>
      </c>
      <c r="FO143" s="1">
        <f t="shared" si="33"/>
        <v>9.9210558070266384</v>
      </c>
    </row>
    <row r="144" spans="2:171" ht="18" customHeight="1" x14ac:dyDescent="0.25">
      <c r="B144" s="6"/>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8"/>
      <c r="AR144" s="6"/>
      <c r="CF144" s="8"/>
      <c r="DW144" s="1">
        <f t="shared" si="45"/>
        <v>28.2</v>
      </c>
      <c r="DX144" s="12" t="str">
        <f t="shared" si="37"/>
        <v>0.0001-0.957329i</v>
      </c>
      <c r="DY144" s="13" t="str">
        <f t="shared" si="34"/>
        <v>0.000000001</v>
      </c>
      <c r="DZ144" s="13" t="str">
        <f t="shared" si="44"/>
        <v>0.010799+30.45226i</v>
      </c>
      <c r="EA144" s="14" t="str">
        <f t="shared" si="38"/>
        <v>10.798674+0.0001i</v>
      </c>
      <c r="EC144" s="1" t="str">
        <f t="shared" si="39"/>
        <v>0.010799+30.45226i</v>
      </c>
      <c r="ED144" s="1" t="str">
        <f t="shared" si="40"/>
        <v>0.11357+328.844029i</v>
      </c>
      <c r="EE144" s="1" t="str">
        <f t="shared" si="41"/>
        <v>10.809473+30.45236i</v>
      </c>
      <c r="EF144" s="1" t="str">
        <f t="shared" si="42"/>
        <v>9.591449+3.400884i</v>
      </c>
      <c r="EG144" s="1" t="str">
        <f t="shared" si="43"/>
        <v>9.591549+2.443555i</v>
      </c>
      <c r="FN144" s="1">
        <f t="shared" si="32"/>
        <v>28.8</v>
      </c>
      <c r="FO144" s="1">
        <f t="shared" si="33"/>
        <v>9.9323007651210915</v>
      </c>
    </row>
    <row r="145" spans="2:171" ht="18" customHeight="1" thickBot="1" x14ac:dyDescent="0.3">
      <c r="B145" s="6"/>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8"/>
      <c r="AR145" s="6"/>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1"/>
      <c r="CE145" s="10"/>
      <c r="CF145" s="8"/>
      <c r="DW145" s="1">
        <f t="shared" si="45"/>
        <v>28.4</v>
      </c>
      <c r="DX145" s="12" t="str">
        <f t="shared" si="37"/>
        <v>0.0001-0.950587i</v>
      </c>
      <c r="DY145" s="13" t="str">
        <f t="shared" si="34"/>
        <v>0.000000001</v>
      </c>
      <c r="DZ145" s="13" t="str">
        <f t="shared" si="44"/>
        <v>0.010799+30.668233i</v>
      </c>
      <c r="EA145" s="14" t="str">
        <f t="shared" si="38"/>
        <v>10.798674+0.0001i</v>
      </c>
      <c r="EC145" s="1" t="str">
        <f t="shared" si="39"/>
        <v>0.010799+30.668233i</v>
      </c>
      <c r="ED145" s="1" t="str">
        <f t="shared" si="40"/>
        <v>0.113548+331.176251i</v>
      </c>
      <c r="EE145" s="1" t="str">
        <f t="shared" si="41"/>
        <v>10.809473+30.668333i</v>
      </c>
      <c r="EF145" s="1" t="str">
        <f t="shared" si="42"/>
        <v>9.60652+3.382247i</v>
      </c>
      <c r="EG145" s="1" t="str">
        <f t="shared" si="43"/>
        <v>9.60662+2.43166i</v>
      </c>
      <c r="FN145" s="1">
        <f t="shared" si="32"/>
        <v>29</v>
      </c>
      <c r="FO145" s="1">
        <f t="shared" si="33"/>
        <v>9.943335590260693</v>
      </c>
    </row>
    <row r="146" spans="2:171" ht="18" customHeight="1" x14ac:dyDescent="0.25">
      <c r="B146" s="6"/>
      <c r="D146" s="44" t="s">
        <v>94</v>
      </c>
      <c r="AO146" s="29" t="s">
        <v>158</v>
      </c>
      <c r="AP146" s="8"/>
      <c r="AR146" s="6"/>
      <c r="AT146" s="44" t="s">
        <v>94</v>
      </c>
      <c r="CE146" s="29" t="s">
        <v>159</v>
      </c>
      <c r="CF146" s="8"/>
      <c r="DW146" s="1">
        <f t="shared" si="45"/>
        <v>28.6</v>
      </c>
      <c r="DX146" s="12" t="str">
        <f t="shared" si="37"/>
        <v>0.0001-0.94394i</v>
      </c>
      <c r="DY146" s="13" t="str">
        <f t="shared" si="34"/>
        <v>0.000000001</v>
      </c>
      <c r="DZ146" s="13" t="str">
        <f t="shared" si="44"/>
        <v>0.010799+30.884207i</v>
      </c>
      <c r="EA146" s="14" t="str">
        <f t="shared" si="38"/>
        <v>10.798674+0.0001i</v>
      </c>
      <c r="EC146" s="1" t="str">
        <f t="shared" si="39"/>
        <v>0.010799+30.884207i</v>
      </c>
      <c r="ED146" s="1" t="str">
        <f t="shared" si="40"/>
        <v>0.113526+333.508484i</v>
      </c>
      <c r="EE146" s="1" t="str">
        <f t="shared" si="41"/>
        <v>10.809473+30.884307i</v>
      </c>
      <c r="EF146" s="1" t="str">
        <f t="shared" si="42"/>
        <v>9.621321+3.363776i</v>
      </c>
      <c r="EG146" s="1" t="str">
        <f t="shared" si="43"/>
        <v>9.621421+2.419836i</v>
      </c>
      <c r="FN146" s="1">
        <f t="shared" si="32"/>
        <v>29.2</v>
      </c>
      <c r="FO146" s="1">
        <f t="shared" si="33"/>
        <v>9.9541664065589135</v>
      </c>
    </row>
    <row r="147" spans="2:171" ht="18" customHeight="1" x14ac:dyDescent="0.25">
      <c r="B147" s="46"/>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8"/>
      <c r="AR147" s="46"/>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8"/>
      <c r="DW147" s="1">
        <f t="shared" si="45"/>
        <v>28.8</v>
      </c>
      <c r="DX147" s="12" t="str">
        <f t="shared" si="37"/>
        <v>0.0001-0.937385i</v>
      </c>
      <c r="DY147" s="13" t="str">
        <f t="shared" si="34"/>
        <v>0.000000001</v>
      </c>
      <c r="DZ147" s="13" t="str">
        <f t="shared" si="44"/>
        <v>0.010799+31.10018i</v>
      </c>
      <c r="EA147" s="14" t="str">
        <f t="shared" si="38"/>
        <v>10.798674+0.0001i</v>
      </c>
      <c r="EC147" s="1" t="str">
        <f t="shared" si="39"/>
        <v>0.010799+31.10018i</v>
      </c>
      <c r="ED147" s="1" t="str">
        <f t="shared" si="40"/>
        <v>0.113505+335.840706i</v>
      </c>
      <c r="EE147" s="1" t="str">
        <f t="shared" si="41"/>
        <v>10.809473+31.10028i</v>
      </c>
      <c r="EF147" s="1" t="str">
        <f t="shared" si="42"/>
        <v>9.63586+3.34547i</v>
      </c>
      <c r="EG147" s="1" t="str">
        <f t="shared" si="43"/>
        <v>9.63596+2.408085i</v>
      </c>
      <c r="FN147" s="1">
        <f t="shared" si="32"/>
        <v>29.4</v>
      </c>
      <c r="FO147" s="1">
        <f t="shared" si="33"/>
        <v>9.9647981497249098</v>
      </c>
    </row>
    <row r="148" spans="2:171" ht="18" customHeight="1" x14ac:dyDescent="0.25">
      <c r="DW148" s="1">
        <f t="shared" si="45"/>
        <v>29</v>
      </c>
      <c r="DX148" s="12" t="str">
        <f t="shared" si="37"/>
        <v>0.0001-0.93092i</v>
      </c>
      <c r="DY148" s="13" t="str">
        <f t="shared" si="34"/>
        <v>0.000000001</v>
      </c>
      <c r="DZ148" s="13" t="str">
        <f t="shared" si="44"/>
        <v>0.010799+31.316153i</v>
      </c>
      <c r="EA148" s="14" t="str">
        <f t="shared" si="38"/>
        <v>10.798674+0.0001i</v>
      </c>
      <c r="EC148" s="1" t="str">
        <f t="shared" si="39"/>
        <v>0.010799+31.316153i</v>
      </c>
      <c r="ED148" s="1" t="str">
        <f t="shared" si="40"/>
        <v>0.113483+338.172928i</v>
      </c>
      <c r="EE148" s="1" t="str">
        <f t="shared" si="41"/>
        <v>10.809473+31.316253i</v>
      </c>
      <c r="EF148" s="1" t="str">
        <f t="shared" si="42"/>
        <v>9.650141+3.327328i</v>
      </c>
      <c r="EG148" s="1" t="str">
        <f t="shared" si="43"/>
        <v>9.650241+2.396408i</v>
      </c>
      <c r="FN148" s="1">
        <f t="shared" si="32"/>
        <v>29.6</v>
      </c>
      <c r="FO148" s="1">
        <f t="shared" si="33"/>
        <v>9.9752347840058881</v>
      </c>
    </row>
    <row r="149" spans="2:171" ht="18" customHeight="1" x14ac:dyDescent="0.25">
      <c r="B149" s="3"/>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5"/>
      <c r="AR149" s="3"/>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5"/>
      <c r="DW149" s="1">
        <f t="shared" si="45"/>
        <v>29.2</v>
      </c>
      <c r="DX149" s="12" t="str">
        <f t="shared" si="37"/>
        <v>0.0001-0.924544i</v>
      </c>
      <c r="DY149" s="13" t="str">
        <f t="shared" si="34"/>
        <v>0.000000001</v>
      </c>
      <c r="DZ149" s="13" t="str">
        <f t="shared" si="44"/>
        <v>0.010799+31.532127i</v>
      </c>
      <c r="EA149" s="14" t="str">
        <f t="shared" si="38"/>
        <v>10.798674+0.0001i</v>
      </c>
      <c r="EC149" s="1" t="str">
        <f t="shared" si="39"/>
        <v>0.010799+31.532127i</v>
      </c>
      <c r="ED149" s="1" t="str">
        <f t="shared" si="40"/>
        <v>0.113462+340.505161i</v>
      </c>
      <c r="EE149" s="1" t="str">
        <f t="shared" si="41"/>
        <v>10.809473+31.532227i</v>
      </c>
      <c r="EF149" s="1" t="str">
        <f t="shared" si="42"/>
        <v>9.664171+3.309349i</v>
      </c>
      <c r="EG149" s="1" t="str">
        <f t="shared" si="43"/>
        <v>9.664271+2.384805i</v>
      </c>
      <c r="FN149" s="1">
        <f t="shared" si="32"/>
        <v>29.8</v>
      </c>
      <c r="FO149" s="1">
        <f t="shared" si="33"/>
        <v>9.9854810396275848</v>
      </c>
    </row>
    <row r="150" spans="2:171" ht="18" customHeight="1" x14ac:dyDescent="0.25">
      <c r="B150" s="6"/>
      <c r="AN150" s="7"/>
      <c r="AP150" s="8"/>
      <c r="AR150" s="6"/>
      <c r="CD150" s="7"/>
      <c r="CF150" s="8"/>
      <c r="DW150" s="1">
        <f t="shared" si="45"/>
        <v>29.4</v>
      </c>
      <c r="DX150" s="12" t="str">
        <f t="shared" si="37"/>
        <v>0.0001-0.918255i</v>
      </c>
      <c r="DY150" s="13" t="str">
        <f t="shared" si="34"/>
        <v>0.000000001</v>
      </c>
      <c r="DZ150" s="13" t="str">
        <f t="shared" si="44"/>
        <v>0.010799+31.7481i</v>
      </c>
      <c r="EA150" s="14" t="str">
        <f t="shared" si="38"/>
        <v>10.798674+0.0001i</v>
      </c>
      <c r="EC150" s="1" t="str">
        <f t="shared" si="39"/>
        <v>0.010799+31.7481i</v>
      </c>
      <c r="ED150" s="1" t="str">
        <f t="shared" si="40"/>
        <v>0.11344+342.837383i</v>
      </c>
      <c r="EE150" s="1" t="str">
        <f t="shared" si="41"/>
        <v>10.809473+31.7482i</v>
      </c>
      <c r="EF150" s="1" t="str">
        <f t="shared" si="42"/>
        <v>9.677956+3.29153i</v>
      </c>
      <c r="EG150" s="1" t="str">
        <f t="shared" si="43"/>
        <v>9.678056+2.373275i</v>
      </c>
      <c r="FN150" s="1">
        <f t="shared" si="32"/>
        <v>30</v>
      </c>
      <c r="FO150" s="1">
        <f t="shared" si="33"/>
        <v>9.9955426120291229</v>
      </c>
    </row>
    <row r="151" spans="2:171" ht="18" customHeight="1" x14ac:dyDescent="0.25">
      <c r="B151" s="6"/>
      <c r="AN151" s="9"/>
      <c r="AP151" s="8"/>
      <c r="AR151" s="6"/>
      <c r="CD151" s="9"/>
      <c r="CF151" s="8"/>
      <c r="DW151" s="1">
        <f t="shared" si="45"/>
        <v>29.6</v>
      </c>
      <c r="DX151" s="12" t="str">
        <f t="shared" si="37"/>
        <v>0.0001-0.91205i</v>
      </c>
      <c r="DY151" s="13" t="str">
        <f t="shared" si="34"/>
        <v>0.000000001</v>
      </c>
      <c r="DZ151" s="13" t="str">
        <f t="shared" si="44"/>
        <v>0.010799+31.964074i</v>
      </c>
      <c r="EA151" s="14" t="str">
        <f t="shared" si="38"/>
        <v>10.798674+0.0001i</v>
      </c>
      <c r="EC151" s="1" t="str">
        <f t="shared" si="39"/>
        <v>0.010799+31.964074i</v>
      </c>
      <c r="ED151" s="1" t="str">
        <f t="shared" si="40"/>
        <v>0.113418+345.169616i</v>
      </c>
      <c r="EE151" s="1" t="str">
        <f t="shared" si="41"/>
        <v>10.809473+31.964174i</v>
      </c>
      <c r="EF151" s="1" t="str">
        <f t="shared" si="42"/>
        <v>9.6915+3.273871i</v>
      </c>
      <c r="EG151" s="1" t="str">
        <f t="shared" si="43"/>
        <v>9.6916+2.361821i</v>
      </c>
      <c r="FN151" s="1">
        <f t="shared" si="32"/>
        <v>30.2</v>
      </c>
      <c r="FO151" s="1">
        <f t="shared" si="33"/>
        <v>10.005422327567436</v>
      </c>
    </row>
    <row r="152" spans="2:171" ht="18" customHeight="1" thickBot="1" x14ac:dyDescent="0.3">
      <c r="B152" s="6"/>
      <c r="C152" s="10" t="str">
        <f>H12 &amp; " | " &amp; AE13</f>
        <v>Enter Customer PO #  | Stage 1</v>
      </c>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1"/>
      <c r="AO152" s="10"/>
      <c r="AP152" s="8"/>
      <c r="AR152" s="6"/>
      <c r="AS152" s="10" t="str">
        <f>H12 &amp; " | " &amp; AE13</f>
        <v>Enter Customer PO #  | Stage 1</v>
      </c>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1"/>
      <c r="CE152" s="10"/>
      <c r="CF152" s="8"/>
      <c r="DW152" s="1">
        <f t="shared" si="45"/>
        <v>29.8</v>
      </c>
      <c r="DX152" s="12" t="str">
        <f t="shared" si="37"/>
        <v>0.0001-0.905929i</v>
      </c>
      <c r="DY152" s="13" t="str">
        <f t="shared" si="34"/>
        <v>0.000000001</v>
      </c>
      <c r="DZ152" s="13" t="str">
        <f t="shared" si="44"/>
        <v>0.010799+32.180047i</v>
      </c>
      <c r="EA152" s="14" t="str">
        <f t="shared" si="38"/>
        <v>10.798674+0.0001i</v>
      </c>
      <c r="EC152" s="1" t="str">
        <f t="shared" si="39"/>
        <v>0.010799+32.180047i</v>
      </c>
      <c r="ED152" s="1" t="str">
        <f t="shared" si="40"/>
        <v>0.113397+347.501838i</v>
      </c>
      <c r="EE152" s="1" t="str">
        <f t="shared" si="41"/>
        <v>10.809473+32.180147i</v>
      </c>
      <c r="EF152" s="1" t="str">
        <f t="shared" si="42"/>
        <v>9.704809+3.25637i</v>
      </c>
      <c r="EG152" s="1" t="str">
        <f t="shared" si="43"/>
        <v>9.704909+2.350441i</v>
      </c>
      <c r="FN152" s="1">
        <f t="shared" si="32"/>
        <v>30.4</v>
      </c>
      <c r="FO152" s="1">
        <f t="shared" si="33"/>
        <v>10.015124936137841</v>
      </c>
    </row>
    <row r="153" spans="2:171" ht="18" customHeight="1" x14ac:dyDescent="0.25">
      <c r="B153" s="6"/>
      <c r="AN153" s="9"/>
      <c r="AP153" s="8"/>
      <c r="AR153" s="6"/>
      <c r="CD153" s="9"/>
      <c r="CF153" s="8"/>
      <c r="DW153" s="1">
        <f t="shared" si="45"/>
        <v>30</v>
      </c>
      <c r="DX153" s="12" t="str">
        <f t="shared" si="37"/>
        <v>0.0001-0.899889i</v>
      </c>
      <c r="DY153" s="13" t="str">
        <f t="shared" si="34"/>
        <v>0.000000001</v>
      </c>
      <c r="DZ153" s="13" t="str">
        <f t="shared" si="44"/>
        <v>0.010799+32.396021i</v>
      </c>
      <c r="EA153" s="14" t="str">
        <f t="shared" si="38"/>
        <v>10.798674+0.0001i</v>
      </c>
      <c r="EC153" s="1" t="str">
        <f t="shared" si="39"/>
        <v>0.010799+32.396021i</v>
      </c>
      <c r="ED153" s="1" t="str">
        <f t="shared" si="40"/>
        <v>0.113375+349.834071i</v>
      </c>
      <c r="EE153" s="1" t="str">
        <f t="shared" si="41"/>
        <v>10.809473+32.396121i</v>
      </c>
      <c r="EF153" s="1" t="str">
        <f t="shared" si="42"/>
        <v>9.717889+3.239026i</v>
      </c>
      <c r="EG153" s="1" t="str">
        <f t="shared" si="43"/>
        <v>9.717989+2.339137i</v>
      </c>
      <c r="FN153" s="1">
        <f t="shared" si="32"/>
        <v>30.6</v>
      </c>
      <c r="FO153" s="1">
        <f t="shared" si="33"/>
        <v>10.024654502399422</v>
      </c>
    </row>
    <row r="154" spans="2:171" ht="18" customHeight="1" x14ac:dyDescent="0.3">
      <c r="B154" s="6"/>
      <c r="AO154" s="17"/>
      <c r="AP154" s="8"/>
      <c r="AR154" s="6"/>
      <c r="AS154" s="97" t="s">
        <v>160</v>
      </c>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8"/>
      <c r="DW154" s="1">
        <f t="shared" si="45"/>
        <v>30.2</v>
      </c>
      <c r="DX154" s="12" t="str">
        <f t="shared" si="37"/>
        <v>0.0001-0.89393i</v>
      </c>
      <c r="DY154" s="13" t="str">
        <f t="shared" si="34"/>
        <v>0.000000001</v>
      </c>
      <c r="DZ154" s="13" t="str">
        <f t="shared" si="44"/>
        <v>0.010799+32.611994i</v>
      </c>
      <c r="EA154" s="14" t="str">
        <f t="shared" si="38"/>
        <v>10.798674+0.0001i</v>
      </c>
      <c r="EC154" s="1" t="str">
        <f t="shared" si="39"/>
        <v>0.010799+32.611994i</v>
      </c>
      <c r="ED154" s="1" t="str">
        <f t="shared" si="40"/>
        <v>0.113354+352.166293i</v>
      </c>
      <c r="EE154" s="1" t="str">
        <f t="shared" si="41"/>
        <v>10.809473+32.612094i</v>
      </c>
      <c r="EF154" s="1" t="str">
        <f t="shared" si="42"/>
        <v>9.730744+3.221837i</v>
      </c>
      <c r="EG154" s="1" t="str">
        <f t="shared" si="43"/>
        <v>9.730844+2.327907i</v>
      </c>
      <c r="FN154" s="1">
        <f t="shared" si="32"/>
        <v>30.8</v>
      </c>
      <c r="FO154" s="1">
        <f t="shared" si="33"/>
        <v>10.034015568760196</v>
      </c>
    </row>
    <row r="155" spans="2:171" ht="18" customHeight="1" x14ac:dyDescent="0.25">
      <c r="B155" s="6"/>
      <c r="AP155" s="8"/>
      <c r="AR155" s="6"/>
      <c r="AU155" s="89" t="s">
        <v>161</v>
      </c>
      <c r="AV155" s="89"/>
      <c r="AW155" s="89"/>
      <c r="AX155" s="89"/>
      <c r="AY155" s="89"/>
      <c r="AZ155" s="89"/>
      <c r="BA155" s="89"/>
      <c r="BB155" s="24" t="s">
        <v>162</v>
      </c>
      <c r="CF155" s="8"/>
      <c r="DW155" s="1">
        <f t="shared" si="45"/>
        <v>30.4</v>
      </c>
      <c r="DX155" s="12" t="str">
        <f t="shared" si="37"/>
        <v>0.0001-0.888049i</v>
      </c>
      <c r="DY155" s="13" t="str">
        <f t="shared" si="34"/>
        <v>0.000000001</v>
      </c>
      <c r="DZ155" s="13" t="str">
        <f t="shared" si="44"/>
        <v>0.010799+32.827968i</v>
      </c>
      <c r="EA155" s="14" t="str">
        <f t="shared" si="38"/>
        <v>10.798674+0.0001i</v>
      </c>
      <c r="EC155" s="1" t="str">
        <f t="shared" si="39"/>
        <v>0.010799+32.827968i</v>
      </c>
      <c r="ED155" s="1" t="str">
        <f t="shared" si="40"/>
        <v>0.113332+354.498526i</v>
      </c>
      <c r="EE155" s="1" t="str">
        <f t="shared" si="41"/>
        <v>10.809473+32.828068i</v>
      </c>
      <c r="EF155" s="1" t="str">
        <f t="shared" si="42"/>
        <v>9.743379+3.204802i</v>
      </c>
      <c r="EG155" s="1" t="str">
        <f t="shared" si="43"/>
        <v>9.743479+2.316753i</v>
      </c>
      <c r="FN155" s="1">
        <f t="shared" si="32"/>
        <v>31</v>
      </c>
      <c r="FO155" s="1">
        <f t="shared" si="33"/>
        <v>10.043211485889611</v>
      </c>
    </row>
    <row r="156" spans="2:171" ht="18" customHeight="1" x14ac:dyDescent="0.25">
      <c r="B156" s="6"/>
      <c r="AP156" s="8"/>
      <c r="AR156" s="6"/>
      <c r="AT156" s="24"/>
      <c r="AU156" s="89" t="s">
        <v>163</v>
      </c>
      <c r="AV156" s="89"/>
      <c r="AW156" s="89"/>
      <c r="AX156" s="89"/>
      <c r="AY156" s="89"/>
      <c r="AZ156" s="89"/>
      <c r="BA156" s="89"/>
      <c r="BB156" s="24" t="s">
        <v>164</v>
      </c>
      <c r="CF156" s="8"/>
      <c r="DW156" s="1">
        <f t="shared" si="45"/>
        <v>30.6</v>
      </c>
      <c r="DX156" s="12" t="str">
        <f t="shared" si="37"/>
        <v>0.0001-0.882245i</v>
      </c>
      <c r="DY156" s="13" t="str">
        <f t="shared" si="34"/>
        <v>0.000000001</v>
      </c>
      <c r="DZ156" s="13" t="str">
        <f t="shared" si="44"/>
        <v>0.010799+33.043941i</v>
      </c>
      <c r="EA156" s="14" t="str">
        <f t="shared" si="38"/>
        <v>10.798674+0.0001i</v>
      </c>
      <c r="EC156" s="1" t="str">
        <f t="shared" si="39"/>
        <v>0.010799+33.043941i</v>
      </c>
      <c r="ED156" s="1" t="str">
        <f t="shared" si="40"/>
        <v>0.11331+356.830748i</v>
      </c>
      <c r="EE156" s="1" t="str">
        <f t="shared" si="41"/>
        <v>10.809473+33.044041i</v>
      </c>
      <c r="EF156" s="1" t="str">
        <f t="shared" si="42"/>
        <v>9.755799+3.187919i</v>
      </c>
      <c r="EG156" s="1" t="str">
        <f t="shared" si="43"/>
        <v>9.755899+2.305674i</v>
      </c>
      <c r="FN156" s="1">
        <f t="shared" si="32"/>
        <v>31.2</v>
      </c>
      <c r="FO156" s="1">
        <f t="shared" si="33"/>
        <v>10.052245391497811</v>
      </c>
    </row>
    <row r="157" spans="2:171" ht="18" customHeight="1" x14ac:dyDescent="0.25">
      <c r="B157" s="6"/>
      <c r="AP157" s="8"/>
      <c r="AR157" s="6"/>
      <c r="AT157" s="24"/>
      <c r="AU157" s="89" t="s">
        <v>165</v>
      </c>
      <c r="AV157" s="89"/>
      <c r="AW157" s="89"/>
      <c r="AX157" s="89"/>
      <c r="AY157" s="89"/>
      <c r="AZ157" s="89"/>
      <c r="BA157" s="89"/>
      <c r="BB157" s="24" t="s">
        <v>166</v>
      </c>
      <c r="CF157" s="8"/>
      <c r="DW157" s="1">
        <f t="shared" si="45"/>
        <v>30.8</v>
      </c>
      <c r="DX157" s="12" t="str">
        <f t="shared" si="37"/>
        <v>0.0001-0.876516i</v>
      </c>
      <c r="DY157" s="13" t="str">
        <f t="shared" si="34"/>
        <v>0.000000001</v>
      </c>
      <c r="DZ157" s="13" t="str">
        <f t="shared" si="44"/>
        <v>0.010799+33.259915i</v>
      </c>
      <c r="EA157" s="14" t="str">
        <f t="shared" si="38"/>
        <v>10.798674+0.0001i</v>
      </c>
      <c r="EC157" s="1" t="str">
        <f t="shared" si="39"/>
        <v>0.010799+33.259915i</v>
      </c>
      <c r="ED157" s="1" t="str">
        <f t="shared" si="40"/>
        <v>0.113289+359.16298i</v>
      </c>
      <c r="EE157" s="1" t="str">
        <f t="shared" si="41"/>
        <v>10.809473+33.260015i</v>
      </c>
      <c r="EF157" s="1" t="str">
        <f t="shared" si="42"/>
        <v>9.768009+3.171187i</v>
      </c>
      <c r="EG157" s="1" t="str">
        <f t="shared" si="43"/>
        <v>9.768109+2.294671i</v>
      </c>
      <c r="FN157" s="1">
        <f t="shared" si="32"/>
        <v>31.4</v>
      </c>
      <c r="FO157" s="1">
        <f t="shared" si="33"/>
        <v>10.06112261483111</v>
      </c>
    </row>
    <row r="158" spans="2:171" ht="18" customHeight="1" x14ac:dyDescent="0.25">
      <c r="B158" s="6"/>
      <c r="AP158" s="8"/>
      <c r="AR158" s="6"/>
      <c r="AT158" s="24"/>
      <c r="AU158" s="89" t="s">
        <v>167</v>
      </c>
      <c r="AV158" s="89"/>
      <c r="AW158" s="89"/>
      <c r="AX158" s="89"/>
      <c r="AY158" s="89"/>
      <c r="AZ158" s="89"/>
      <c r="BA158" s="89"/>
      <c r="BB158" s="24" t="s">
        <v>168</v>
      </c>
      <c r="CF158" s="8"/>
      <c r="DW158" s="1">
        <f t="shared" si="45"/>
        <v>31</v>
      </c>
      <c r="DX158" s="12" t="str">
        <f t="shared" si="37"/>
        <v>0.0001-0.870861i</v>
      </c>
      <c r="DY158" s="13" t="str">
        <f t="shared" si="34"/>
        <v>0.000000001</v>
      </c>
      <c r="DZ158" s="13" t="str">
        <f t="shared" si="44"/>
        <v>0.010799+33.475888i</v>
      </c>
      <c r="EA158" s="14" t="str">
        <f t="shared" si="38"/>
        <v>10.798674+0.0001i</v>
      </c>
      <c r="EC158" s="1" t="str">
        <f t="shared" si="39"/>
        <v>0.010799+33.475888i</v>
      </c>
      <c r="ED158" s="1" t="str">
        <f t="shared" si="40"/>
        <v>0.113267+361.495202i</v>
      </c>
      <c r="EE158" s="1" t="str">
        <f t="shared" si="41"/>
        <v>10.809473+33.475988i</v>
      </c>
      <c r="EF158" s="1" t="str">
        <f t="shared" si="42"/>
        <v>9.780013+3.154605i</v>
      </c>
      <c r="EG158" s="1" t="str">
        <f t="shared" si="43"/>
        <v>9.780113+2.283744i</v>
      </c>
      <c r="FN158" s="1">
        <f t="shared" si="32"/>
        <v>31.6</v>
      </c>
      <c r="FO158" s="1">
        <f t="shared" si="33"/>
        <v>10.06984504829712</v>
      </c>
    </row>
    <row r="159" spans="2:171" ht="18" customHeight="1" x14ac:dyDescent="0.25">
      <c r="B159" s="6"/>
      <c r="AP159" s="8"/>
      <c r="AR159" s="6"/>
      <c r="AT159" s="24"/>
      <c r="AU159" s="89" t="s">
        <v>75</v>
      </c>
      <c r="AV159" s="89"/>
      <c r="AW159" s="89"/>
      <c r="AX159" s="89"/>
      <c r="AY159" s="89"/>
      <c r="AZ159" s="89"/>
      <c r="BA159" s="89"/>
      <c r="BB159" s="24" t="s">
        <v>169</v>
      </c>
      <c r="CF159" s="8"/>
      <c r="DW159" s="1">
        <f t="shared" si="45"/>
        <v>31.2</v>
      </c>
      <c r="DX159" s="12" t="str">
        <f t="shared" si="37"/>
        <v>0.0001-0.865278i</v>
      </c>
      <c r="DY159" s="13" t="str">
        <f t="shared" si="34"/>
        <v>0.000000001</v>
      </c>
      <c r="DZ159" s="13" t="str">
        <f t="shared" si="44"/>
        <v>0.010799+33.691862i</v>
      </c>
      <c r="EA159" s="14" t="str">
        <f t="shared" si="38"/>
        <v>10.798674+0.0001i</v>
      </c>
      <c r="EC159" s="1" t="str">
        <f t="shared" si="39"/>
        <v>0.010799+33.691862i</v>
      </c>
      <c r="ED159" s="1" t="str">
        <f t="shared" si="40"/>
        <v>0.113246+363.827435i</v>
      </c>
      <c r="EE159" s="1" t="str">
        <f t="shared" si="41"/>
        <v>10.809473+33.691962i</v>
      </c>
      <c r="EF159" s="1" t="str">
        <f t="shared" si="42"/>
        <v>9.791815+3.13817i</v>
      </c>
      <c r="EG159" s="1" t="str">
        <f t="shared" si="43"/>
        <v>9.791915+2.272892i</v>
      </c>
      <c r="FN159" s="1">
        <f t="shared" si="32"/>
        <v>31.8</v>
      </c>
      <c r="FO159" s="1">
        <f t="shared" si="33"/>
        <v>10.078417150008875</v>
      </c>
    </row>
    <row r="160" spans="2:171" ht="18" customHeight="1" x14ac:dyDescent="0.25">
      <c r="B160" s="6"/>
      <c r="AP160" s="8"/>
      <c r="AR160" s="6"/>
      <c r="AT160" s="24"/>
      <c r="AU160" s="89" t="s">
        <v>170</v>
      </c>
      <c r="AV160" s="89"/>
      <c r="AW160" s="89"/>
      <c r="AX160" s="89"/>
      <c r="AY160" s="89"/>
      <c r="AZ160" s="89"/>
      <c r="BA160" s="89"/>
      <c r="BB160" s="24" t="s">
        <v>171</v>
      </c>
      <c r="CF160" s="8"/>
      <c r="DW160" s="1">
        <f t="shared" si="45"/>
        <v>31.4</v>
      </c>
      <c r="DX160" s="12" t="str">
        <f t="shared" si="37"/>
        <v>0.0001-0.859767i</v>
      </c>
      <c r="DY160" s="13" t="str">
        <f t="shared" si="34"/>
        <v>0.000000001</v>
      </c>
      <c r="DZ160" s="13" t="str">
        <f t="shared" si="44"/>
        <v>0.010799+33.907835i</v>
      </c>
      <c r="EA160" s="14" t="str">
        <f t="shared" si="38"/>
        <v>10.798674+0.0001i</v>
      </c>
      <c r="EC160" s="1" t="str">
        <f t="shared" si="39"/>
        <v>0.010799+33.907835i</v>
      </c>
      <c r="ED160" s="1" t="str">
        <f t="shared" si="40"/>
        <v>0.113224+366.159657i</v>
      </c>
      <c r="EE160" s="1" t="str">
        <f t="shared" si="41"/>
        <v>10.809473+33.907935i</v>
      </c>
      <c r="EF160" s="1" t="str">
        <f t="shared" si="42"/>
        <v>9.803421+3.121882i</v>
      </c>
      <c r="EG160" s="1" t="str">
        <f t="shared" si="43"/>
        <v>9.803521+2.262115i</v>
      </c>
      <c r="FN160" s="1">
        <f t="shared" si="32"/>
        <v>32</v>
      </c>
      <c r="FO160" s="1">
        <f t="shared" si="33"/>
        <v>10.086842033985912</v>
      </c>
    </row>
    <row r="161" spans="2:171" ht="18" customHeight="1" x14ac:dyDescent="0.25">
      <c r="B161" s="6"/>
      <c r="AP161" s="8"/>
      <c r="AR161" s="6"/>
      <c r="AT161" s="24"/>
      <c r="AU161" s="89" t="s">
        <v>172</v>
      </c>
      <c r="AV161" s="89"/>
      <c r="AW161" s="89"/>
      <c r="AX161" s="89"/>
      <c r="AY161" s="89"/>
      <c r="AZ161" s="89"/>
      <c r="BA161" s="89"/>
      <c r="BB161" s="24" t="s">
        <v>173</v>
      </c>
      <c r="CF161" s="8"/>
      <c r="DW161" s="1">
        <f t="shared" si="45"/>
        <v>31.6</v>
      </c>
      <c r="DX161" s="12" t="str">
        <f t="shared" si="37"/>
        <v>0.0001-0.854325i</v>
      </c>
      <c r="DY161" s="13" t="str">
        <f t="shared" si="34"/>
        <v>0.000000001</v>
      </c>
      <c r="DZ161" s="13" t="str">
        <f t="shared" si="44"/>
        <v>0.010799+34.123809i</v>
      </c>
      <c r="EA161" s="14" t="str">
        <f t="shared" si="38"/>
        <v>10.798674+0.0001i</v>
      </c>
      <c r="EC161" s="1" t="str">
        <f t="shared" si="39"/>
        <v>0.010799+34.123809i</v>
      </c>
      <c r="ED161" s="1" t="str">
        <f t="shared" si="40"/>
        <v>0.113202+368.49189i</v>
      </c>
      <c r="EE161" s="1" t="str">
        <f t="shared" si="41"/>
        <v>10.809473+34.123909i</v>
      </c>
      <c r="EF161" s="1" t="str">
        <f t="shared" si="42"/>
        <v>9.814833+3.10574i</v>
      </c>
      <c r="EG161" s="1" t="str">
        <f t="shared" si="43"/>
        <v>9.814933+2.251415i</v>
      </c>
      <c r="FN161" s="1">
        <f t="shared" si="32"/>
        <v>32.200000000000003</v>
      </c>
      <c r="FO161" s="1">
        <f t="shared" si="33"/>
        <v>10.095123881366984</v>
      </c>
    </row>
    <row r="162" spans="2:171" ht="18" customHeight="1" x14ac:dyDescent="0.25">
      <c r="B162" s="6"/>
      <c r="AP162" s="8"/>
      <c r="AR162" s="6"/>
      <c r="AT162" s="24"/>
      <c r="AU162" s="89" t="s">
        <v>174</v>
      </c>
      <c r="AV162" s="89"/>
      <c r="AW162" s="89"/>
      <c r="AX162" s="89"/>
      <c r="AY162" s="89"/>
      <c r="AZ162" s="89"/>
      <c r="BA162" s="89"/>
      <c r="BB162" s="24" t="s">
        <v>175</v>
      </c>
      <c r="CF162" s="8"/>
      <c r="DW162" s="1">
        <f t="shared" si="45"/>
        <v>31.8</v>
      </c>
      <c r="DX162" s="12" t="str">
        <f t="shared" si="37"/>
        <v>0.0001-0.848952i</v>
      </c>
      <c r="DY162" s="13" t="str">
        <f t="shared" si="34"/>
        <v>0.000000001</v>
      </c>
      <c r="DZ162" s="13" t="str">
        <f t="shared" si="44"/>
        <v>0.010799+34.339782i</v>
      </c>
      <c r="EA162" s="14" t="str">
        <f t="shared" si="38"/>
        <v>10.798674+0.0001i</v>
      </c>
      <c r="EC162" s="1" t="str">
        <f t="shared" si="39"/>
        <v>0.010799+34.339782i</v>
      </c>
      <c r="ED162" s="1" t="str">
        <f t="shared" si="40"/>
        <v>0.113181+370.824112i</v>
      </c>
      <c r="EE162" s="1" t="str">
        <f t="shared" si="41"/>
        <v>10.809473+34.339882i</v>
      </c>
      <c r="EF162" s="1" t="str">
        <f t="shared" si="42"/>
        <v>9.826057+3.08974i</v>
      </c>
      <c r="EG162" s="1" t="str">
        <f t="shared" si="43"/>
        <v>9.826157+2.240788i</v>
      </c>
      <c r="FN162" s="1">
        <f t="shared" si="32"/>
        <v>32.4</v>
      </c>
      <c r="FO162" s="1">
        <f t="shared" si="33"/>
        <v>10.103263963124837</v>
      </c>
    </row>
    <row r="163" spans="2:171" ht="18" customHeight="1" x14ac:dyDescent="0.25">
      <c r="B163" s="6"/>
      <c r="AP163" s="8"/>
      <c r="AR163" s="6"/>
      <c r="AT163" s="24"/>
      <c r="AU163" s="89" t="s">
        <v>176</v>
      </c>
      <c r="AV163" s="89"/>
      <c r="AW163" s="89"/>
      <c r="AX163" s="89"/>
      <c r="AY163" s="89"/>
      <c r="AZ163" s="89"/>
      <c r="BA163" s="89"/>
      <c r="BB163" s="24" t="s">
        <v>177</v>
      </c>
      <c r="CF163" s="8"/>
      <c r="DW163" s="1">
        <f t="shared" si="45"/>
        <v>32</v>
      </c>
      <c r="DX163" s="12" t="str">
        <f t="shared" si="37"/>
        <v>0.0001-0.843646i</v>
      </c>
      <c r="DY163" s="13" t="str">
        <f t="shared" si="34"/>
        <v>0.000000001</v>
      </c>
      <c r="DZ163" s="13" t="str">
        <f t="shared" si="44"/>
        <v>0.010799+34.555756i</v>
      </c>
      <c r="EA163" s="14" t="str">
        <f t="shared" si="38"/>
        <v>10.798674+0.0001i</v>
      </c>
      <c r="EC163" s="1" t="str">
        <f t="shared" si="39"/>
        <v>0.010799+34.555756i</v>
      </c>
      <c r="ED163" s="1" t="str">
        <f t="shared" si="40"/>
        <v>0.113159+373.156345i</v>
      </c>
      <c r="EE163" s="1" t="str">
        <f t="shared" si="41"/>
        <v>10.809473+34.555856i</v>
      </c>
      <c r="EF163" s="1" t="str">
        <f t="shared" si="42"/>
        <v>9.837096+3.073883i</v>
      </c>
      <c r="EG163" s="1" t="str">
        <f t="shared" si="43"/>
        <v>9.837196+2.230237i</v>
      </c>
      <c r="FN163" s="1">
        <f t="shared" si="32"/>
        <v>32.6</v>
      </c>
      <c r="FO163" s="1">
        <f t="shared" si="33"/>
        <v>10.111265950912033</v>
      </c>
    </row>
    <row r="164" spans="2:171" ht="18" customHeight="1" x14ac:dyDescent="0.25">
      <c r="B164" s="6"/>
      <c r="AP164" s="8"/>
      <c r="AR164" s="6"/>
      <c r="AT164" s="24"/>
      <c r="AU164" s="89" t="s">
        <v>178</v>
      </c>
      <c r="AV164" s="89"/>
      <c r="AW164" s="89"/>
      <c r="AX164" s="89"/>
      <c r="AY164" s="89"/>
      <c r="AZ164" s="89"/>
      <c r="BA164" s="89"/>
      <c r="BB164" s="24" t="s">
        <v>353</v>
      </c>
      <c r="CF164" s="8"/>
      <c r="DW164" s="1">
        <f t="shared" si="45"/>
        <v>32.200000000000003</v>
      </c>
      <c r="DX164" s="12" t="str">
        <f t="shared" si="37"/>
        <v>0.0001-0.838406i</v>
      </c>
      <c r="DY164" s="13" t="str">
        <f t="shared" si="34"/>
        <v>0.000000001</v>
      </c>
      <c r="DZ164" s="13" t="str">
        <f t="shared" si="44"/>
        <v>0.010799+34.771729i</v>
      </c>
      <c r="EA164" s="14" t="str">
        <f t="shared" si="38"/>
        <v>10.798674+0.0001i</v>
      </c>
      <c r="EC164" s="1" t="str">
        <f t="shared" si="39"/>
        <v>0.010799+34.771729i</v>
      </c>
      <c r="ED164" s="1" t="str">
        <f t="shared" si="40"/>
        <v>0.113138+375.488567i</v>
      </c>
      <c r="EE164" s="1" t="str">
        <f t="shared" si="41"/>
        <v>10.809473+34.771829i</v>
      </c>
      <c r="EF164" s="1" t="str">
        <f t="shared" si="42"/>
        <v>9.847955+3.058167i</v>
      </c>
      <c r="EG164" s="1" t="str">
        <f t="shared" si="43"/>
        <v>9.848055+2.219761i</v>
      </c>
      <c r="FN164" s="1">
        <f t="shared" si="32"/>
        <v>32.799999999999997</v>
      </c>
      <c r="FO164" s="1">
        <f t="shared" si="33"/>
        <v>10.119133849734618</v>
      </c>
    </row>
    <row r="165" spans="2:171" ht="18" customHeight="1" x14ac:dyDescent="0.25">
      <c r="B165" s="6"/>
      <c r="AP165" s="8"/>
      <c r="AR165" s="6"/>
      <c r="AT165" s="24"/>
      <c r="AU165" s="89" t="s">
        <v>179</v>
      </c>
      <c r="AV165" s="89"/>
      <c r="AW165" s="89"/>
      <c r="AX165" s="89"/>
      <c r="AY165" s="89"/>
      <c r="AZ165" s="89"/>
      <c r="BA165" s="89"/>
      <c r="BB165" s="24" t="s">
        <v>180</v>
      </c>
      <c r="CF165" s="8"/>
      <c r="DW165" s="1">
        <f t="shared" si="45"/>
        <v>32.4</v>
      </c>
      <c r="DX165" s="12" t="str">
        <f t="shared" si="37"/>
        <v>0.0001-0.833231i</v>
      </c>
      <c r="DY165" s="13" t="str">
        <f t="shared" si="34"/>
        <v>0.000000001</v>
      </c>
      <c r="DZ165" s="13" t="str">
        <f t="shared" si="44"/>
        <v>0.010799+34.987703i</v>
      </c>
      <c r="EA165" s="14" t="str">
        <f t="shared" si="38"/>
        <v>10.798674+0.0001i</v>
      </c>
      <c r="EC165" s="1" t="str">
        <f t="shared" si="39"/>
        <v>0.010799+34.987703i</v>
      </c>
      <c r="ED165" s="1" t="str">
        <f t="shared" si="40"/>
        <v>0.113116+377.8208i</v>
      </c>
      <c r="EE165" s="1" t="str">
        <f t="shared" si="41"/>
        <v>10.809473+34.987803i</v>
      </c>
      <c r="EF165" s="1" t="str">
        <f t="shared" si="42"/>
        <v>9.858636+3.04259i</v>
      </c>
      <c r="EG165" s="1" t="str">
        <f t="shared" si="43"/>
        <v>9.858736+2.209359i</v>
      </c>
      <c r="FN165" s="1">
        <f t="shared" si="32"/>
        <v>33</v>
      </c>
      <c r="FO165" s="1">
        <f t="shared" si="33"/>
        <v>10.126870807954894</v>
      </c>
    </row>
    <row r="166" spans="2:171" ht="18" customHeight="1" x14ac:dyDescent="0.25">
      <c r="B166" s="6"/>
      <c r="AP166" s="8"/>
      <c r="AR166" s="6"/>
      <c r="AT166" s="89" t="s">
        <v>61</v>
      </c>
      <c r="AU166" s="89"/>
      <c r="AV166" s="89"/>
      <c r="AW166" s="89"/>
      <c r="AX166" s="89"/>
      <c r="AY166" s="89"/>
      <c r="AZ166" s="89"/>
      <c r="BA166" s="89"/>
      <c r="BB166" s="24" t="s">
        <v>181</v>
      </c>
      <c r="CF166" s="8"/>
      <c r="DW166" s="1">
        <f t="shared" si="45"/>
        <v>32.6</v>
      </c>
      <c r="DX166" s="12" t="str">
        <f t="shared" si="37"/>
        <v>0.0001-0.828119i</v>
      </c>
      <c r="DY166" s="13" t="str">
        <f t="shared" si="34"/>
        <v>0.000000001</v>
      </c>
      <c r="DZ166" s="13" t="str">
        <f t="shared" si="44"/>
        <v>0.010799+35.203676i</v>
      </c>
      <c r="EA166" s="14" t="str">
        <f t="shared" si="38"/>
        <v>10.798674+0.0001i</v>
      </c>
      <c r="EC166" s="1" t="str">
        <f t="shared" si="39"/>
        <v>0.010799+35.203676i</v>
      </c>
      <c r="ED166" s="1" t="str">
        <f t="shared" si="40"/>
        <v>0.113095+380.153022i</v>
      </c>
      <c r="EE166" s="1" t="str">
        <f t="shared" si="41"/>
        <v>10.809473+35.203776i</v>
      </c>
      <c r="EF166" s="1" t="str">
        <f t="shared" si="42"/>
        <v>9.869143+3.027151i</v>
      </c>
      <c r="EG166" s="1" t="str">
        <f t="shared" si="43"/>
        <v>9.869243+2.199032i</v>
      </c>
      <c r="FN166" s="1">
        <f t="shared" si="32"/>
        <v>33.200000000000003</v>
      </c>
      <c r="FO166" s="1">
        <f t="shared" si="33"/>
        <v>10.134478471272214</v>
      </c>
    </row>
    <row r="167" spans="2:171" ht="18" customHeight="1" x14ac:dyDescent="0.25">
      <c r="B167" s="6"/>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8"/>
      <c r="AR167" s="6"/>
      <c r="AT167" s="24"/>
      <c r="AU167" s="89" t="s">
        <v>182</v>
      </c>
      <c r="AV167" s="89"/>
      <c r="AW167" s="89"/>
      <c r="AX167" s="89"/>
      <c r="AY167" s="89"/>
      <c r="AZ167" s="89"/>
      <c r="BA167" s="89"/>
      <c r="BB167" s="24" t="s">
        <v>183</v>
      </c>
      <c r="CF167" s="8"/>
      <c r="DW167" s="1">
        <f t="shared" si="45"/>
        <v>32.799999999999997</v>
      </c>
      <c r="DX167" s="12" t="str">
        <f t="shared" si="37"/>
        <v>0.0001-0.82307i</v>
      </c>
      <c r="DY167" s="13" t="str">
        <f t="shared" si="34"/>
        <v>0.000000001</v>
      </c>
      <c r="DZ167" s="13" t="str">
        <f t="shared" si="44"/>
        <v>0.010799+35.419649i</v>
      </c>
      <c r="EA167" s="14" t="str">
        <f t="shared" si="38"/>
        <v>10.798674+0.0001i</v>
      </c>
      <c r="EC167" s="1" t="str">
        <f t="shared" si="39"/>
        <v>0.010799+35.419649i</v>
      </c>
      <c r="ED167" s="1" t="str">
        <f t="shared" si="40"/>
        <v>0.113073+382.485244i</v>
      </c>
      <c r="EE167" s="1" t="str">
        <f t="shared" si="41"/>
        <v>10.809473+35.419749i</v>
      </c>
      <c r="EF167" s="1" t="str">
        <f t="shared" si="42"/>
        <v>9.879481+3.011848i</v>
      </c>
      <c r="EG167" s="1" t="str">
        <f t="shared" si="43"/>
        <v>9.879581+2.188778i</v>
      </c>
      <c r="FN167" s="1">
        <f t="shared" si="32"/>
        <v>33.4</v>
      </c>
      <c r="FO167" s="1">
        <f t="shared" si="33"/>
        <v>10.141959576918159</v>
      </c>
    </row>
    <row r="168" spans="2:171" ht="18" customHeight="1" x14ac:dyDescent="0.3">
      <c r="B168" s="6"/>
      <c r="C168" s="30" t="s">
        <v>184</v>
      </c>
      <c r="AP168" s="8"/>
      <c r="AR168" s="6"/>
      <c r="AT168" s="24"/>
      <c r="AU168" s="89" t="s">
        <v>63</v>
      </c>
      <c r="AV168" s="89"/>
      <c r="AW168" s="89"/>
      <c r="AX168" s="89"/>
      <c r="AY168" s="89"/>
      <c r="AZ168" s="89"/>
      <c r="BA168" s="89"/>
      <c r="BB168" s="24" t="s">
        <v>185</v>
      </c>
      <c r="CF168" s="8"/>
      <c r="DW168" s="1">
        <f t="shared" si="45"/>
        <v>33</v>
      </c>
      <c r="DX168" s="12" t="str">
        <f t="shared" si="37"/>
        <v>0.0001-0.818081i</v>
      </c>
      <c r="DY168" s="13" t="str">
        <f t="shared" si="34"/>
        <v>0.000000001</v>
      </c>
      <c r="DZ168" s="13" t="str">
        <f t="shared" si="44"/>
        <v>0.010799+35.635623i</v>
      </c>
      <c r="EA168" s="14" t="str">
        <f t="shared" si="38"/>
        <v>10.798674+0.0001i</v>
      </c>
      <c r="EC168" s="1" t="str">
        <f t="shared" si="39"/>
        <v>0.010799+35.635623i</v>
      </c>
      <c r="ED168" s="1" t="str">
        <f t="shared" si="40"/>
        <v>0.113051+384.817477i</v>
      </c>
      <c r="EE168" s="1" t="str">
        <f t="shared" si="41"/>
        <v>10.809473+35.635723i</v>
      </c>
      <c r="EF168" s="1" t="str">
        <f t="shared" si="42"/>
        <v>9.889653+2.996681i</v>
      </c>
      <c r="EG168" s="1" t="str">
        <f t="shared" si="43"/>
        <v>9.889753+2.1786i</v>
      </c>
      <c r="FN168" s="1">
        <f t="shared" si="32"/>
        <v>33.6</v>
      </c>
      <c r="FO168" s="1">
        <f t="shared" si="33"/>
        <v>10.149317631812348</v>
      </c>
    </row>
    <row r="169" spans="2:171" ht="18" customHeight="1" x14ac:dyDescent="0.25">
      <c r="B169" s="6"/>
      <c r="AP169" s="8"/>
      <c r="AR169" s="6"/>
      <c r="AT169" s="24"/>
      <c r="AU169" s="89" t="s">
        <v>186</v>
      </c>
      <c r="AV169" s="89"/>
      <c r="AW169" s="89"/>
      <c r="AX169" s="89"/>
      <c r="AY169" s="89"/>
      <c r="AZ169" s="89"/>
      <c r="BA169" s="89"/>
      <c r="BB169" s="24" t="s">
        <v>187</v>
      </c>
      <c r="CF169" s="8"/>
      <c r="DW169" s="1">
        <f t="shared" si="45"/>
        <v>33.200000000000003</v>
      </c>
      <c r="DX169" s="12" t="str">
        <f t="shared" si="37"/>
        <v>0.0001-0.813153i</v>
      </c>
      <c r="DY169" s="13" t="str">
        <f t="shared" si="34"/>
        <v>0.000000001</v>
      </c>
      <c r="DZ169" s="13" t="str">
        <f t="shared" si="44"/>
        <v>0.010799+35.851596i</v>
      </c>
      <c r="EA169" s="14" t="str">
        <f t="shared" si="38"/>
        <v>10.798674+0.0001i</v>
      </c>
      <c r="EC169" s="1" t="str">
        <f t="shared" si="39"/>
        <v>0.010799+35.851596i</v>
      </c>
      <c r="ED169" s="1" t="str">
        <f t="shared" si="40"/>
        <v>0.11303+387.149699i</v>
      </c>
      <c r="EE169" s="1" t="str">
        <f t="shared" si="41"/>
        <v>10.809473+35.851696i</v>
      </c>
      <c r="EF169" s="1" t="str">
        <f t="shared" si="42"/>
        <v>9.899662+2.981647i</v>
      </c>
      <c r="EG169" s="1" t="str">
        <f t="shared" si="43"/>
        <v>9.899762+2.168494i</v>
      </c>
      <c r="FN169" s="1">
        <f t="shared" si="32"/>
        <v>33.799999999999997</v>
      </c>
      <c r="FO169" s="1">
        <f t="shared" si="33"/>
        <v>10.15655538529481</v>
      </c>
    </row>
    <row r="170" spans="2:171" ht="18" customHeight="1" x14ac:dyDescent="0.25">
      <c r="B170" s="6"/>
      <c r="C170" s="91" t="s">
        <v>354</v>
      </c>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P170" s="8"/>
      <c r="AR170" s="6"/>
      <c r="AT170" s="24"/>
      <c r="BA170" s="32" t="s">
        <v>188</v>
      </c>
      <c r="BB170" s="24" t="s">
        <v>346</v>
      </c>
      <c r="BC170" s="23"/>
      <c r="BD170" s="23"/>
      <c r="BE170" s="23"/>
      <c r="BF170" s="23"/>
      <c r="BH170" s="23"/>
      <c r="BI170" s="23"/>
      <c r="BJ170" s="23"/>
      <c r="BK170" s="23"/>
      <c r="BL170" s="23"/>
      <c r="BM170" s="23"/>
      <c r="BN170" s="23"/>
      <c r="BO170" s="23"/>
      <c r="BP170" s="23"/>
      <c r="BQ170" s="23"/>
      <c r="CF170" s="8"/>
      <c r="DW170" s="1">
        <f t="shared" si="45"/>
        <v>33.4</v>
      </c>
      <c r="DX170" s="12" t="str">
        <f t="shared" si="37"/>
        <v>0.0001-0.808284i</v>
      </c>
      <c r="DY170" s="13" t="str">
        <f t="shared" si="34"/>
        <v>0.000000001</v>
      </c>
      <c r="DZ170" s="13" t="str">
        <f t="shared" si="44"/>
        <v>0.010799+36.06757i</v>
      </c>
      <c r="EA170" s="14" t="str">
        <f t="shared" si="38"/>
        <v>10.798674+0.0001i</v>
      </c>
      <c r="EC170" s="1" t="str">
        <f t="shared" si="39"/>
        <v>0.010799+36.06757i</v>
      </c>
      <c r="ED170" s="1" t="str">
        <f t="shared" si="40"/>
        <v>0.113008+389.481931i</v>
      </c>
      <c r="EE170" s="1" t="str">
        <f t="shared" si="41"/>
        <v>10.809473+36.06767i</v>
      </c>
      <c r="EF170" s="1" t="str">
        <f t="shared" si="42"/>
        <v>9.909511+2.966745i</v>
      </c>
      <c r="EG170" s="1" t="str">
        <f t="shared" si="43"/>
        <v>9.909611+2.158461i</v>
      </c>
      <c r="FN170" s="1">
        <f t="shared" si="32"/>
        <v>34</v>
      </c>
      <c r="FO170" s="1">
        <f t="shared" si="33"/>
        <v>10.163674752704161</v>
      </c>
    </row>
    <row r="171" spans="2:171" ht="18" customHeight="1" x14ac:dyDescent="0.25">
      <c r="B171" s="6"/>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P171" s="8"/>
      <c r="AR171" s="6"/>
      <c r="AT171" s="24"/>
      <c r="BA171" s="32" t="s">
        <v>189</v>
      </c>
      <c r="BB171" s="24" t="s">
        <v>347</v>
      </c>
      <c r="BC171" s="23"/>
      <c r="BD171" s="23"/>
      <c r="BE171" s="23"/>
      <c r="BF171" s="23"/>
      <c r="BG171" s="23"/>
      <c r="BH171" s="23"/>
      <c r="BI171" s="23"/>
      <c r="BJ171" s="23"/>
      <c r="BK171" s="23"/>
      <c r="BL171" s="23"/>
      <c r="BM171" s="23"/>
      <c r="BN171" s="23"/>
      <c r="BO171" s="23"/>
      <c r="BP171" s="23"/>
      <c r="BQ171" s="23"/>
      <c r="CF171" s="8"/>
      <c r="DW171" s="1">
        <f t="shared" si="45"/>
        <v>33.6</v>
      </c>
      <c r="DX171" s="12" t="str">
        <f t="shared" si="37"/>
        <v>0.0001-0.803473i</v>
      </c>
      <c r="DY171" s="13" t="str">
        <f t="shared" si="34"/>
        <v>0.000000001</v>
      </c>
      <c r="DZ171" s="13" t="str">
        <f t="shared" si="44"/>
        <v>0.010799+36.283543i</v>
      </c>
      <c r="EA171" s="14" t="str">
        <f t="shared" si="38"/>
        <v>10.798674+0.0001i</v>
      </c>
      <c r="EC171" s="1" t="str">
        <f t="shared" si="39"/>
        <v>0.010799+36.283543i</v>
      </c>
      <c r="ED171" s="1" t="str">
        <f t="shared" si="40"/>
        <v>0.112987+391.814154i</v>
      </c>
      <c r="EE171" s="1" t="str">
        <f t="shared" si="41"/>
        <v>10.809473+36.283643i</v>
      </c>
      <c r="EF171" s="1" t="str">
        <f t="shared" si="42"/>
        <v>9.919204+2.951974i</v>
      </c>
      <c r="EG171" s="1" t="str">
        <f t="shared" si="43"/>
        <v>9.919304+2.148501i</v>
      </c>
      <c r="FN171" s="1">
        <f t="shared" si="32"/>
        <v>34.200000000000003</v>
      </c>
      <c r="FO171" s="1">
        <f t="shared" si="33"/>
        <v>10.170679273854821</v>
      </c>
    </row>
    <row r="172" spans="2:171" ht="18" customHeight="1" x14ac:dyDescent="0.25">
      <c r="B172" s="6"/>
      <c r="AP172" s="8"/>
      <c r="AR172" s="6"/>
      <c r="AT172" s="24"/>
      <c r="AU172" s="89" t="s">
        <v>190</v>
      </c>
      <c r="AV172" s="89"/>
      <c r="AW172" s="89"/>
      <c r="AX172" s="89"/>
      <c r="AY172" s="89"/>
      <c r="AZ172" s="89"/>
      <c r="BA172" s="89"/>
      <c r="BB172" s="24" t="s">
        <v>191</v>
      </c>
      <c r="CF172" s="8"/>
      <c r="DW172" s="1">
        <f t="shared" si="45"/>
        <v>33.799999999999997</v>
      </c>
      <c r="DX172" s="12" t="str">
        <f t="shared" si="37"/>
        <v>0.0001-0.798718i</v>
      </c>
      <c r="DY172" s="13" t="str">
        <f t="shared" si="34"/>
        <v>0.000000001</v>
      </c>
      <c r="DZ172" s="13" t="str">
        <f t="shared" si="44"/>
        <v>0.010799+36.499517i</v>
      </c>
      <c r="EA172" s="14" t="str">
        <f t="shared" si="38"/>
        <v>10.798674+0.0001i</v>
      </c>
      <c r="EC172" s="1" t="str">
        <f t="shared" si="39"/>
        <v>0.010799+36.499517i</v>
      </c>
      <c r="ED172" s="1" t="str">
        <f t="shared" si="40"/>
        <v>0.112965+394.146386i</v>
      </c>
      <c r="EE172" s="1" t="str">
        <f t="shared" si="41"/>
        <v>10.809473+36.499617i</v>
      </c>
      <c r="EF172" s="1" t="str">
        <f t="shared" si="42"/>
        <v>9.928744+2.937333i</v>
      </c>
      <c r="EG172" s="1" t="str">
        <f t="shared" si="43"/>
        <v>9.928844+2.138615i</v>
      </c>
      <c r="FN172" s="1">
        <f t="shared" si="32"/>
        <v>34.4</v>
      </c>
      <c r="FO172" s="1">
        <f t="shared" si="33"/>
        <v>10.177569976922488</v>
      </c>
    </row>
    <row r="173" spans="2:171" ht="18" customHeight="1" x14ac:dyDescent="0.25">
      <c r="B173" s="6"/>
      <c r="AP173" s="8"/>
      <c r="AR173" s="6"/>
      <c r="AT173" s="24"/>
      <c r="AU173" s="89" t="s">
        <v>192</v>
      </c>
      <c r="AV173" s="89"/>
      <c r="AW173" s="89"/>
      <c r="AX173" s="89"/>
      <c r="AY173" s="89"/>
      <c r="AZ173" s="89"/>
      <c r="BA173" s="89"/>
      <c r="BB173" s="24" t="s">
        <v>193</v>
      </c>
      <c r="CF173" s="8"/>
      <c r="DW173" s="1">
        <f t="shared" si="45"/>
        <v>34</v>
      </c>
      <c r="DX173" s="12" t="str">
        <f t="shared" si="37"/>
        <v>0.0001-0.79402i</v>
      </c>
      <c r="DY173" s="13" t="str">
        <f t="shared" si="34"/>
        <v>0.000000001</v>
      </c>
      <c r="DZ173" s="13" t="str">
        <f t="shared" si="44"/>
        <v>0.010799+36.71549i</v>
      </c>
      <c r="EA173" s="14" t="str">
        <f t="shared" si="38"/>
        <v>10.798674+0.0001i</v>
      </c>
      <c r="EC173" s="1" t="str">
        <f t="shared" si="39"/>
        <v>0.010799+36.71549i</v>
      </c>
      <c r="ED173" s="1" t="str">
        <f t="shared" si="40"/>
        <v>0.112943+396.478608i</v>
      </c>
      <c r="EE173" s="1" t="str">
        <f t="shared" si="41"/>
        <v>10.809473+36.71559i</v>
      </c>
      <c r="EF173" s="1" t="str">
        <f t="shared" si="42"/>
        <v>9.938134+2.92282i</v>
      </c>
      <c r="EG173" s="1" t="str">
        <f t="shared" si="43"/>
        <v>9.938234+2.1288i</v>
      </c>
      <c r="FN173" s="1">
        <f t="shared" ref="FN173:FN236" si="46">DW176</f>
        <v>34.6</v>
      </c>
      <c r="FO173" s="1">
        <f t="shared" ref="FO173:FO236" si="47">IMABS(EG176)</f>
        <v>10.184349791856178</v>
      </c>
    </row>
    <row r="174" spans="2:171" ht="18" customHeight="1" x14ac:dyDescent="0.25">
      <c r="B174" s="6"/>
      <c r="AP174" s="8"/>
      <c r="AR174" s="6"/>
      <c r="AT174" s="24"/>
      <c r="AU174" s="89" t="s">
        <v>66</v>
      </c>
      <c r="AV174" s="89"/>
      <c r="AW174" s="89"/>
      <c r="AX174" s="89"/>
      <c r="AY174" s="89"/>
      <c r="AZ174" s="89"/>
      <c r="BA174" s="89"/>
      <c r="BB174" s="24" t="s">
        <v>194</v>
      </c>
      <c r="CF174" s="8"/>
      <c r="DW174" s="1">
        <f t="shared" si="45"/>
        <v>34.200000000000003</v>
      </c>
      <c r="DX174" s="12" t="str">
        <f t="shared" si="37"/>
        <v>0.0001-0.789377i</v>
      </c>
      <c r="DY174" s="13" t="str">
        <f t="shared" si="34"/>
        <v>0.000000001</v>
      </c>
      <c r="DZ174" s="13" t="str">
        <f t="shared" si="44"/>
        <v>0.010799+36.931464i</v>
      </c>
      <c r="EA174" s="14" t="str">
        <f t="shared" si="38"/>
        <v>10.798674+0.0001i</v>
      </c>
      <c r="EC174" s="1" t="str">
        <f t="shared" si="39"/>
        <v>0.010799+36.931464i</v>
      </c>
      <c r="ED174" s="1" t="str">
        <f t="shared" si="40"/>
        <v>0.112922+398.810841i</v>
      </c>
      <c r="EE174" s="1" t="str">
        <f t="shared" si="41"/>
        <v>10.809473+36.931564i</v>
      </c>
      <c r="EF174" s="1" t="str">
        <f t="shared" si="42"/>
        <v>9.947378+2.908433i</v>
      </c>
      <c r="EG174" s="1" t="str">
        <f t="shared" si="43"/>
        <v>9.947478+2.119056i</v>
      </c>
      <c r="FN174" s="1">
        <f t="shared" si="46"/>
        <v>34.799999999999997</v>
      </c>
      <c r="FO174" s="1">
        <f t="shared" si="47"/>
        <v>10.191021511631744</v>
      </c>
    </row>
    <row r="175" spans="2:171" ht="18" customHeight="1" x14ac:dyDescent="0.25">
      <c r="B175" s="6"/>
      <c r="AP175" s="8"/>
      <c r="AR175" s="6"/>
      <c r="AU175" s="89" t="s">
        <v>62</v>
      </c>
      <c r="AV175" s="89"/>
      <c r="AW175" s="89"/>
      <c r="AX175" s="89"/>
      <c r="AY175" s="89"/>
      <c r="AZ175" s="89"/>
      <c r="BA175" s="89"/>
      <c r="BB175" s="24" t="s">
        <v>195</v>
      </c>
      <c r="CF175" s="8"/>
      <c r="DW175" s="1">
        <f t="shared" si="45"/>
        <v>34.4</v>
      </c>
      <c r="DX175" s="12" t="str">
        <f t="shared" si="37"/>
        <v>0.0001-0.784787i</v>
      </c>
      <c r="DY175" s="13" t="str">
        <f t="shared" si="34"/>
        <v>0.000000001</v>
      </c>
      <c r="DZ175" s="13" t="str">
        <f t="shared" si="44"/>
        <v>0.010799+37.147437i</v>
      </c>
      <c r="EA175" s="14" t="str">
        <f t="shared" si="38"/>
        <v>10.798674+0.0001i</v>
      </c>
      <c r="EC175" s="1" t="str">
        <f t="shared" si="39"/>
        <v>0.010799+37.147437i</v>
      </c>
      <c r="ED175" s="1" t="str">
        <f t="shared" si="40"/>
        <v>0.1129+401.143063i</v>
      </c>
      <c r="EE175" s="1" t="str">
        <f t="shared" si="41"/>
        <v>10.809473+37.147537i</v>
      </c>
      <c r="EF175" s="1" t="str">
        <f t="shared" si="42"/>
        <v>9.956477+2.894172i</v>
      </c>
      <c r="EG175" s="1" t="str">
        <f t="shared" si="43"/>
        <v>9.956577+2.109385i</v>
      </c>
      <c r="FN175" s="1">
        <f t="shared" si="46"/>
        <v>35</v>
      </c>
      <c r="FO175" s="1">
        <f t="shared" si="47"/>
        <v>10.197586545156506</v>
      </c>
    </row>
    <row r="176" spans="2:171" ht="18" customHeight="1" x14ac:dyDescent="0.25">
      <c r="B176" s="6"/>
      <c r="AP176" s="8"/>
      <c r="AR176" s="6"/>
      <c r="AU176" s="89" t="s">
        <v>218</v>
      </c>
      <c r="AV176" s="89"/>
      <c r="AW176" s="89"/>
      <c r="AX176" s="89"/>
      <c r="AY176" s="89"/>
      <c r="AZ176" s="89"/>
      <c r="BA176" s="89"/>
      <c r="BB176" s="24" t="s">
        <v>299</v>
      </c>
      <c r="CF176" s="8"/>
      <c r="DW176" s="1">
        <f t="shared" si="45"/>
        <v>34.6</v>
      </c>
      <c r="DX176" s="12" t="str">
        <f t="shared" si="37"/>
        <v>0.0001-0.780251i</v>
      </c>
      <c r="DY176" s="13" t="str">
        <f t="shared" ref="DY176:DY239" si="48">COMPLEX(0.000000001,-1*$CL$25/DW176)</f>
        <v>0.000000001</v>
      </c>
      <c r="DZ176" s="13" t="str">
        <f t="shared" si="44"/>
        <v>0.010799+37.363411i</v>
      </c>
      <c r="EA176" s="14" t="str">
        <f t="shared" si="38"/>
        <v>10.798674+0.0001i</v>
      </c>
      <c r="EC176" s="1" t="str">
        <f t="shared" si="39"/>
        <v>0.010799+37.363411i</v>
      </c>
      <c r="ED176" s="1" t="str">
        <f t="shared" si="40"/>
        <v>0.112879+403.475296i</v>
      </c>
      <c r="EE176" s="1" t="str">
        <f t="shared" si="41"/>
        <v>10.809473+37.363511i</v>
      </c>
      <c r="EF176" s="1" t="str">
        <f t="shared" si="42"/>
        <v>9.965435+2.880035i</v>
      </c>
      <c r="EG176" s="1" t="str">
        <f t="shared" si="43"/>
        <v>9.965535+2.099784i</v>
      </c>
      <c r="FN176" s="1">
        <f t="shared" si="46"/>
        <v>35.200000000000003</v>
      </c>
      <c r="FO176" s="1">
        <f t="shared" si="47"/>
        <v>10.204048473155005</v>
      </c>
    </row>
    <row r="177" spans="2:171" ht="18" customHeight="1" x14ac:dyDescent="0.25">
      <c r="B177" s="6"/>
      <c r="AP177" s="8"/>
      <c r="AR177" s="6"/>
      <c r="BA177" s="35" t="s">
        <v>219</v>
      </c>
      <c r="BB177" s="1" t="s">
        <v>220</v>
      </c>
      <c r="CF177" s="8"/>
      <c r="DW177" s="1">
        <f t="shared" si="45"/>
        <v>34.799999999999997</v>
      </c>
      <c r="DX177" s="12" t="str">
        <f t="shared" si="37"/>
        <v>0.0001-0.775767i</v>
      </c>
      <c r="DY177" s="13" t="str">
        <f t="shared" si="48"/>
        <v>0.000000001</v>
      </c>
      <c r="DZ177" s="13" t="str">
        <f t="shared" si="44"/>
        <v>0.010799+37.579384i</v>
      </c>
      <c r="EA177" s="14" t="str">
        <f t="shared" si="38"/>
        <v>10.798674+0.0001i</v>
      </c>
      <c r="EC177" s="1" t="str">
        <f t="shared" si="39"/>
        <v>0.010799+37.579384i</v>
      </c>
      <c r="ED177" s="1" t="str">
        <f t="shared" si="40"/>
        <v>0.112857+405.807518i</v>
      </c>
      <c r="EE177" s="1" t="str">
        <f t="shared" si="41"/>
        <v>10.809473+37.579484i</v>
      </c>
      <c r="EF177" s="1" t="str">
        <f t="shared" si="42"/>
        <v>9.974255+2.866021i</v>
      </c>
      <c r="EG177" s="1" t="str">
        <f t="shared" si="43"/>
        <v>9.974355+2.090254i</v>
      </c>
      <c r="FN177" s="1">
        <f t="shared" si="46"/>
        <v>35.4</v>
      </c>
      <c r="FO177" s="1">
        <f t="shared" si="47"/>
        <v>10.210407744014583</v>
      </c>
    </row>
    <row r="178" spans="2:171" ht="18" customHeight="1" x14ac:dyDescent="0.35">
      <c r="B178" s="6"/>
      <c r="AP178" s="8"/>
      <c r="AR178" s="6"/>
      <c r="BA178" s="35" t="s">
        <v>196</v>
      </c>
      <c r="BB178" s="1" t="s">
        <v>197</v>
      </c>
      <c r="CF178" s="8"/>
      <c r="DW178" s="1">
        <f t="shared" si="45"/>
        <v>35</v>
      </c>
      <c r="DX178" s="12" t="str">
        <f t="shared" si="37"/>
        <v>0.0001-0.771334i</v>
      </c>
      <c r="DY178" s="13" t="str">
        <f t="shared" si="48"/>
        <v>0.000000001</v>
      </c>
      <c r="DZ178" s="13" t="str">
        <f t="shared" si="44"/>
        <v>0.010799+37.795358i</v>
      </c>
      <c r="EA178" s="14" t="str">
        <f t="shared" si="38"/>
        <v>10.798674+0.0001i</v>
      </c>
      <c r="EC178" s="1" t="str">
        <f t="shared" si="39"/>
        <v>0.010799+37.795358i</v>
      </c>
      <c r="ED178" s="1" t="str">
        <f t="shared" si="40"/>
        <v>0.112835+408.139751i</v>
      </c>
      <c r="EE178" s="1" t="str">
        <f t="shared" si="41"/>
        <v>10.809473+37.795458i</v>
      </c>
      <c r="EF178" s="1" t="str">
        <f t="shared" si="42"/>
        <v>9.982939+2.852128i</v>
      </c>
      <c r="EG178" s="1" t="str">
        <f t="shared" si="43"/>
        <v>9.983039+2.080794i</v>
      </c>
      <c r="FN178" s="1">
        <f t="shared" si="46"/>
        <v>35.6</v>
      </c>
      <c r="FO178" s="1">
        <f t="shared" si="47"/>
        <v>10.21666677453684</v>
      </c>
    </row>
    <row r="179" spans="2:171" ht="18" customHeight="1" x14ac:dyDescent="0.25">
      <c r="B179" s="6"/>
      <c r="AP179" s="8"/>
      <c r="AR179" s="6"/>
      <c r="CF179" s="8"/>
      <c r="DW179" s="1">
        <f t="shared" si="45"/>
        <v>35.200000000000003</v>
      </c>
      <c r="DX179" s="12" t="str">
        <f t="shared" si="37"/>
        <v>0.0001-0.766951i</v>
      </c>
      <c r="DY179" s="13" t="str">
        <f t="shared" si="48"/>
        <v>0.000000001</v>
      </c>
      <c r="DZ179" s="13" t="str">
        <f t="shared" si="44"/>
        <v>0.010799+38.011331i</v>
      </c>
      <c r="EA179" s="14" t="str">
        <f t="shared" si="38"/>
        <v>10.798674+0.0001i</v>
      </c>
      <c r="EC179" s="1" t="str">
        <f t="shared" si="39"/>
        <v>0.010799+38.011331i</v>
      </c>
      <c r="ED179" s="1" t="str">
        <f t="shared" si="40"/>
        <v>0.112814+410.471973i</v>
      </c>
      <c r="EE179" s="1" t="str">
        <f t="shared" si="41"/>
        <v>10.809473+38.011431i</v>
      </c>
      <c r="EF179" s="1" t="str">
        <f t="shared" si="42"/>
        <v>9.991491+2.838355i</v>
      </c>
      <c r="EG179" s="1" t="str">
        <f t="shared" si="43"/>
        <v>9.991591+2.071404i</v>
      </c>
      <c r="FN179" s="1">
        <f t="shared" si="46"/>
        <v>35.799999999999997</v>
      </c>
      <c r="FO179" s="1">
        <f t="shared" si="47"/>
        <v>10.222829571761677</v>
      </c>
    </row>
    <row r="180" spans="2:171" ht="18" customHeight="1" x14ac:dyDescent="0.25">
      <c r="B180" s="6"/>
      <c r="AP180" s="8"/>
      <c r="AR180" s="6"/>
      <c r="AS180" s="92" t="s">
        <v>306</v>
      </c>
      <c r="AT180" s="93"/>
      <c r="AU180" s="93"/>
      <c r="AV180" s="93"/>
      <c r="AW180" s="93"/>
      <c r="AX180" s="93"/>
      <c r="AY180" s="93"/>
      <c r="AZ180" s="93"/>
      <c r="BA180" s="93"/>
      <c r="BB180" s="93"/>
      <c r="BC180" s="93"/>
      <c r="BD180" s="93"/>
      <c r="BE180" s="93"/>
      <c r="BF180" s="93"/>
      <c r="BG180" s="93"/>
      <c r="BH180" s="93"/>
      <c r="BI180" s="93"/>
      <c r="BJ180" s="93"/>
      <c r="BK180" s="93"/>
      <c r="BL180" s="93"/>
      <c r="BM180" s="93"/>
      <c r="BN180" s="93"/>
      <c r="BO180" s="93"/>
      <c r="BP180" s="93"/>
      <c r="BQ180" s="93"/>
      <c r="BR180" s="93"/>
      <c r="BS180" s="93"/>
      <c r="BT180" s="93"/>
      <c r="BU180" s="93"/>
      <c r="BV180" s="93"/>
      <c r="BW180" s="93"/>
      <c r="BX180" s="93"/>
      <c r="BY180" s="93"/>
      <c r="BZ180" s="93"/>
      <c r="CA180" s="93"/>
      <c r="CB180" s="93"/>
      <c r="CC180" s="93"/>
      <c r="CD180" s="93"/>
      <c r="CE180" s="93"/>
      <c r="CF180" s="8"/>
      <c r="DW180" s="1">
        <f t="shared" si="45"/>
        <v>35.4</v>
      </c>
      <c r="DX180" s="12" t="str">
        <f t="shared" si="37"/>
        <v>0.0001-0.762618i</v>
      </c>
      <c r="DY180" s="13" t="str">
        <f t="shared" si="48"/>
        <v>0.000000001</v>
      </c>
      <c r="DZ180" s="13" t="str">
        <f t="shared" si="44"/>
        <v>0.010799+38.227305i</v>
      </c>
      <c r="EA180" s="14" t="str">
        <f t="shared" si="38"/>
        <v>10.798674+0.0001i</v>
      </c>
      <c r="EC180" s="1" t="str">
        <f t="shared" si="39"/>
        <v>0.010799+38.227305i</v>
      </c>
      <c r="ED180" s="1" t="str">
        <f t="shared" si="40"/>
        <v>0.112792+412.804206i</v>
      </c>
      <c r="EE180" s="1" t="str">
        <f t="shared" si="41"/>
        <v>10.809473+38.227405i</v>
      </c>
      <c r="EF180" s="1" t="str">
        <f t="shared" si="42"/>
        <v>9.999912+2.824701i</v>
      </c>
      <c r="EG180" s="1" t="str">
        <f t="shared" si="43"/>
        <v>10.000012+2.062083i</v>
      </c>
      <c r="FN180" s="1">
        <f t="shared" si="46"/>
        <v>36</v>
      </c>
      <c r="FO180" s="1">
        <f t="shared" si="47"/>
        <v>10.228896207331513</v>
      </c>
    </row>
    <row r="181" spans="2:171" ht="18" customHeight="1" x14ac:dyDescent="0.25">
      <c r="B181" s="6"/>
      <c r="AP181" s="8"/>
      <c r="AR181" s="6"/>
      <c r="AS181" s="94" t="s">
        <v>307</v>
      </c>
      <c r="AT181" s="94"/>
      <c r="AU181" s="94"/>
      <c r="AV181" s="94"/>
      <c r="AW181" s="94"/>
      <c r="AX181" s="94"/>
      <c r="AY181" s="94"/>
      <c r="AZ181" s="94"/>
      <c r="BA181" s="94"/>
      <c r="BB181" s="94"/>
      <c r="BC181" s="94"/>
      <c r="BD181" s="94"/>
      <c r="BE181" s="94"/>
      <c r="BF181" s="94"/>
      <c r="BG181" s="94"/>
      <c r="BH181" s="94"/>
      <c r="BI181" s="94"/>
      <c r="BJ181" s="94"/>
      <c r="BK181" s="94"/>
      <c r="BL181" s="94"/>
      <c r="BM181" s="94"/>
      <c r="BN181" s="94"/>
      <c r="BO181" s="94"/>
      <c r="BP181" s="94"/>
      <c r="BQ181" s="94"/>
      <c r="BR181" s="94"/>
      <c r="BS181" s="94"/>
      <c r="BT181" s="94"/>
      <c r="BU181" s="94"/>
      <c r="BV181" s="94"/>
      <c r="BW181" s="94"/>
      <c r="BX181" s="94"/>
      <c r="BY181" s="94"/>
      <c r="BZ181" s="94"/>
      <c r="CA181" s="94"/>
      <c r="CB181" s="94"/>
      <c r="CC181" s="94"/>
      <c r="CD181" s="94"/>
      <c r="CE181" s="94"/>
      <c r="CF181" s="8"/>
      <c r="DW181" s="1">
        <f t="shared" si="45"/>
        <v>35.6</v>
      </c>
      <c r="DX181" s="12" t="str">
        <f t="shared" si="37"/>
        <v>0.0001-0.758334i</v>
      </c>
      <c r="DY181" s="13" t="str">
        <f t="shared" si="48"/>
        <v>0.000000001</v>
      </c>
      <c r="DZ181" s="13" t="str">
        <f t="shared" si="44"/>
        <v>0.010799+38.443278i</v>
      </c>
      <c r="EA181" s="14" t="str">
        <f t="shared" si="38"/>
        <v>10.798674+0.0001i</v>
      </c>
      <c r="EC181" s="1" t="str">
        <f t="shared" si="39"/>
        <v>0.010799+38.443278i</v>
      </c>
      <c r="ED181" s="1" t="str">
        <f t="shared" si="40"/>
        <v>0.112771+415.136428i</v>
      </c>
      <c r="EE181" s="1" t="str">
        <f t="shared" si="41"/>
        <v>10.809473+38.443378i</v>
      </c>
      <c r="EF181" s="1" t="str">
        <f t="shared" si="42"/>
        <v>10.008205+2.811164i</v>
      </c>
      <c r="EG181" s="1" t="str">
        <f t="shared" si="43"/>
        <v>10.008305+2.05283i</v>
      </c>
      <c r="FN181" s="1">
        <f t="shared" si="46"/>
        <v>36.200000000000003</v>
      </c>
      <c r="FO181" s="1">
        <f t="shared" si="47"/>
        <v>10.234868343576725</v>
      </c>
    </row>
    <row r="182" spans="2:171" ht="18" customHeight="1" x14ac:dyDescent="0.25">
      <c r="B182" s="6"/>
      <c r="AP182" s="8"/>
      <c r="AR182" s="6"/>
      <c r="AS182" s="94"/>
      <c r="AT182" s="94"/>
      <c r="AU182" s="94"/>
      <c r="AV182" s="94"/>
      <c r="AW182" s="94"/>
      <c r="AX182" s="94"/>
      <c r="AY182" s="94"/>
      <c r="AZ182" s="94"/>
      <c r="BA182" s="94"/>
      <c r="BB182" s="94"/>
      <c r="BC182" s="94"/>
      <c r="BD182" s="94"/>
      <c r="BE182" s="94"/>
      <c r="BF182" s="94"/>
      <c r="BG182" s="94"/>
      <c r="BH182" s="94"/>
      <c r="BI182" s="94"/>
      <c r="BJ182" s="94"/>
      <c r="BK182" s="94"/>
      <c r="BL182" s="94"/>
      <c r="BM182" s="94"/>
      <c r="BN182" s="94"/>
      <c r="BO182" s="94"/>
      <c r="BP182" s="94"/>
      <c r="BQ182" s="94"/>
      <c r="BR182" s="94"/>
      <c r="BS182" s="94"/>
      <c r="BT182" s="94"/>
      <c r="BU182" s="94"/>
      <c r="BV182" s="94"/>
      <c r="BW182" s="94"/>
      <c r="BX182" s="94"/>
      <c r="BY182" s="94"/>
      <c r="BZ182" s="94"/>
      <c r="CA182" s="94"/>
      <c r="CB182" s="94"/>
      <c r="CC182" s="94"/>
      <c r="CD182" s="94"/>
      <c r="CE182" s="94"/>
      <c r="CF182" s="8"/>
      <c r="DW182" s="1">
        <f t="shared" si="45"/>
        <v>35.799999999999997</v>
      </c>
      <c r="DX182" s="12" t="str">
        <f t="shared" si="37"/>
        <v>0.0001-0.754097i</v>
      </c>
      <c r="DY182" s="13" t="str">
        <f t="shared" si="48"/>
        <v>0.000000001</v>
      </c>
      <c r="DZ182" s="13" t="str">
        <f t="shared" si="44"/>
        <v>0.010799+38.659252i</v>
      </c>
      <c r="EA182" s="14" t="str">
        <f t="shared" si="38"/>
        <v>10.798674+0.0001i</v>
      </c>
      <c r="EC182" s="1" t="str">
        <f t="shared" si="39"/>
        <v>0.010799+38.659252i</v>
      </c>
      <c r="ED182" s="1" t="str">
        <f t="shared" si="40"/>
        <v>0.112749+417.468661i</v>
      </c>
      <c r="EE182" s="1" t="str">
        <f t="shared" si="41"/>
        <v>10.809473+38.659352i</v>
      </c>
      <c r="EF182" s="1" t="str">
        <f t="shared" si="42"/>
        <v>10.016374+2.797744i</v>
      </c>
      <c r="EG182" s="1" t="str">
        <f t="shared" si="43"/>
        <v>10.016474+2.043647i</v>
      </c>
      <c r="FN182" s="1">
        <f t="shared" si="46"/>
        <v>36.4</v>
      </c>
      <c r="FO182" s="1">
        <f t="shared" si="47"/>
        <v>10.240748825476828</v>
      </c>
    </row>
    <row r="183" spans="2:171" ht="18" customHeight="1" x14ac:dyDescent="0.25">
      <c r="B183" s="6"/>
      <c r="AP183" s="8"/>
      <c r="AR183" s="6"/>
      <c r="AS183" s="94"/>
      <c r="AT183" s="94"/>
      <c r="AU183" s="94"/>
      <c r="AV183" s="94"/>
      <c r="AW183" s="94"/>
      <c r="AX183" s="94"/>
      <c r="AY183" s="94"/>
      <c r="AZ183" s="94"/>
      <c r="BA183" s="94"/>
      <c r="BB183" s="94"/>
      <c r="BC183" s="94"/>
      <c r="BD183" s="94"/>
      <c r="BE183" s="94"/>
      <c r="BF183" s="94"/>
      <c r="BG183" s="94"/>
      <c r="BH183" s="94"/>
      <c r="BI183" s="94"/>
      <c r="BJ183" s="94"/>
      <c r="BK183" s="94"/>
      <c r="BL183" s="94"/>
      <c r="BM183" s="94"/>
      <c r="BN183" s="94"/>
      <c r="BO183" s="94"/>
      <c r="BP183" s="94"/>
      <c r="BQ183" s="94"/>
      <c r="BR183" s="94"/>
      <c r="BS183" s="94"/>
      <c r="BT183" s="94"/>
      <c r="BU183" s="94"/>
      <c r="BV183" s="94"/>
      <c r="BW183" s="94"/>
      <c r="BX183" s="94"/>
      <c r="BY183" s="94"/>
      <c r="BZ183" s="94"/>
      <c r="CA183" s="94"/>
      <c r="CB183" s="94"/>
      <c r="CC183" s="94"/>
      <c r="CD183" s="94"/>
      <c r="CE183" s="94"/>
      <c r="CF183" s="8"/>
      <c r="DW183" s="1">
        <f t="shared" si="45"/>
        <v>36</v>
      </c>
      <c r="DX183" s="12" t="str">
        <f t="shared" si="37"/>
        <v>0.0001-0.749908i</v>
      </c>
      <c r="DY183" s="13" t="str">
        <f t="shared" si="48"/>
        <v>0.000000001</v>
      </c>
      <c r="DZ183" s="13" t="str">
        <f t="shared" si="44"/>
        <v>0.010799+38.875225i</v>
      </c>
      <c r="EA183" s="14" t="str">
        <f t="shared" si="38"/>
        <v>10.798674+0.0001i</v>
      </c>
      <c r="EC183" s="1" t="str">
        <f t="shared" si="39"/>
        <v>0.010799+38.875225i</v>
      </c>
      <c r="ED183" s="1" t="str">
        <f t="shared" si="40"/>
        <v>0.112727+419.800883i</v>
      </c>
      <c r="EE183" s="1" t="str">
        <f t="shared" si="41"/>
        <v>10.809473+38.875325i</v>
      </c>
      <c r="EF183" s="1" t="str">
        <f t="shared" si="42"/>
        <v>10.02442+2.784439i</v>
      </c>
      <c r="EG183" s="1" t="str">
        <f t="shared" si="43"/>
        <v>10.02452+2.034531i</v>
      </c>
      <c r="FN183" s="1">
        <f t="shared" si="46"/>
        <v>36.6</v>
      </c>
      <c r="FO183" s="1">
        <f t="shared" si="47"/>
        <v>10.246540108236777</v>
      </c>
    </row>
    <row r="184" spans="2:171" ht="18" customHeight="1" x14ac:dyDescent="0.25">
      <c r="B184" s="6"/>
      <c r="AP184" s="8"/>
      <c r="AR184" s="6"/>
      <c r="AS184" s="94"/>
      <c r="AT184" s="94"/>
      <c r="AU184" s="94"/>
      <c r="AV184" s="94"/>
      <c r="AW184" s="94"/>
      <c r="AX184" s="94"/>
      <c r="AY184" s="94"/>
      <c r="AZ184" s="94"/>
      <c r="BA184" s="94"/>
      <c r="BB184" s="94"/>
      <c r="BC184" s="94"/>
      <c r="BD184" s="94"/>
      <c r="BE184" s="94"/>
      <c r="BF184" s="94"/>
      <c r="BG184" s="94"/>
      <c r="BH184" s="94"/>
      <c r="BI184" s="94"/>
      <c r="BJ184" s="94"/>
      <c r="BK184" s="94"/>
      <c r="BL184" s="94"/>
      <c r="BM184" s="94"/>
      <c r="BN184" s="94"/>
      <c r="BO184" s="94"/>
      <c r="BP184" s="94"/>
      <c r="BQ184" s="94"/>
      <c r="BR184" s="94"/>
      <c r="BS184" s="94"/>
      <c r="BT184" s="94"/>
      <c r="BU184" s="94"/>
      <c r="BV184" s="94"/>
      <c r="BW184" s="94"/>
      <c r="BX184" s="94"/>
      <c r="BY184" s="94"/>
      <c r="BZ184" s="94"/>
      <c r="CA184" s="94"/>
      <c r="CB184" s="94"/>
      <c r="CC184" s="94"/>
      <c r="CD184" s="94"/>
      <c r="CE184" s="94"/>
      <c r="CF184" s="8"/>
      <c r="DW184" s="1">
        <f t="shared" si="45"/>
        <v>36.200000000000003</v>
      </c>
      <c r="DX184" s="12" t="str">
        <f t="shared" si="37"/>
        <v>0.0001-0.745765i</v>
      </c>
      <c r="DY184" s="13" t="str">
        <f t="shared" si="48"/>
        <v>0.000000001</v>
      </c>
      <c r="DZ184" s="13" t="str">
        <f t="shared" si="44"/>
        <v>0.010799+39.091198i</v>
      </c>
      <c r="EA184" s="14" t="str">
        <f t="shared" si="38"/>
        <v>10.798674+0.0001i</v>
      </c>
      <c r="EC184" s="1" t="str">
        <f t="shared" si="39"/>
        <v>0.010799+39.091198i</v>
      </c>
      <c r="ED184" s="1" t="str">
        <f t="shared" si="40"/>
        <v>0.112706+422.133105i</v>
      </c>
      <c r="EE184" s="1" t="str">
        <f t="shared" si="41"/>
        <v>10.809473+39.091298i</v>
      </c>
      <c r="EF184" s="1" t="str">
        <f t="shared" si="42"/>
        <v>10.032345+2.771247i</v>
      </c>
      <c r="EG184" s="1" t="str">
        <f t="shared" si="43"/>
        <v>10.032445+2.025482i</v>
      </c>
      <c r="FN184" s="1">
        <f t="shared" si="46"/>
        <v>36.799999999999997</v>
      </c>
      <c r="FO184" s="1">
        <f t="shared" si="47"/>
        <v>10.252242305352182</v>
      </c>
    </row>
    <row r="185" spans="2:171" ht="18" customHeight="1" x14ac:dyDescent="0.25">
      <c r="B185" s="6"/>
      <c r="AP185" s="8"/>
      <c r="AR185" s="6"/>
      <c r="AS185" s="94"/>
      <c r="AT185" s="94"/>
      <c r="AU185" s="94"/>
      <c r="AV185" s="94"/>
      <c r="AW185" s="94"/>
      <c r="AX185" s="94"/>
      <c r="AY185" s="94"/>
      <c r="AZ185" s="94"/>
      <c r="BA185" s="94"/>
      <c r="BB185" s="94"/>
      <c r="BC185" s="94"/>
      <c r="BD185" s="94"/>
      <c r="BE185" s="94"/>
      <c r="BF185" s="94"/>
      <c r="BG185" s="94"/>
      <c r="BH185" s="94"/>
      <c r="BI185" s="94"/>
      <c r="BJ185" s="94"/>
      <c r="BK185" s="94"/>
      <c r="BL185" s="94"/>
      <c r="BM185" s="94"/>
      <c r="BN185" s="94"/>
      <c r="BO185" s="94"/>
      <c r="BP185" s="94"/>
      <c r="BQ185" s="94"/>
      <c r="BR185" s="94"/>
      <c r="BS185" s="94"/>
      <c r="BT185" s="94"/>
      <c r="BU185" s="94"/>
      <c r="BV185" s="94"/>
      <c r="BW185" s="94"/>
      <c r="BX185" s="94"/>
      <c r="BY185" s="94"/>
      <c r="BZ185" s="94"/>
      <c r="CA185" s="94"/>
      <c r="CB185" s="94"/>
      <c r="CC185" s="94"/>
      <c r="CD185" s="94"/>
      <c r="CE185" s="94"/>
      <c r="CF185" s="8"/>
      <c r="DW185" s="1">
        <f t="shared" si="45"/>
        <v>36.4</v>
      </c>
      <c r="DX185" s="12" t="str">
        <f t="shared" si="37"/>
        <v>0.0001-0.741667i</v>
      </c>
      <c r="DY185" s="13" t="str">
        <f t="shared" si="48"/>
        <v>0.000000001</v>
      </c>
      <c r="DZ185" s="13" t="str">
        <f t="shared" si="44"/>
        <v>0.010799+39.307172i</v>
      </c>
      <c r="EA185" s="14" t="str">
        <f t="shared" si="38"/>
        <v>10.798674+0.0001i</v>
      </c>
      <c r="EC185" s="1" t="str">
        <f t="shared" si="39"/>
        <v>0.010799+39.307172i</v>
      </c>
      <c r="ED185" s="1" t="str">
        <f t="shared" si="40"/>
        <v>0.112684+424.465337i</v>
      </c>
      <c r="EE185" s="1" t="str">
        <f t="shared" si="41"/>
        <v>10.809473+39.307272i</v>
      </c>
      <c r="EF185" s="1" t="str">
        <f t="shared" si="42"/>
        <v>10.040152+2.758168i</v>
      </c>
      <c r="EG185" s="1" t="str">
        <f t="shared" si="43"/>
        <v>10.040252+2.016501i</v>
      </c>
      <c r="FN185" s="1">
        <f t="shared" si="46"/>
        <v>37</v>
      </c>
      <c r="FO185" s="1">
        <f t="shared" si="47"/>
        <v>10.257857691070784</v>
      </c>
    </row>
    <row r="186" spans="2:171" ht="18" customHeight="1" x14ac:dyDescent="0.25">
      <c r="B186" s="6"/>
      <c r="C186" s="90" t="s">
        <v>221</v>
      </c>
      <c r="D186" s="90"/>
      <c r="E186" s="90"/>
      <c r="F186" s="90"/>
      <c r="G186" s="90"/>
      <c r="H186" s="90"/>
      <c r="I186" s="90"/>
      <c r="J186" s="90"/>
      <c r="K186" s="90"/>
      <c r="L186" s="90"/>
      <c r="AP186" s="8"/>
      <c r="AR186" s="6"/>
      <c r="CF186" s="8"/>
      <c r="DW186" s="1">
        <f t="shared" si="45"/>
        <v>36.6</v>
      </c>
      <c r="DX186" s="12" t="str">
        <f t="shared" si="37"/>
        <v>0.0001-0.737614i</v>
      </c>
      <c r="DY186" s="13" t="str">
        <f t="shared" si="48"/>
        <v>0.000000001</v>
      </c>
      <c r="DZ186" s="13" t="str">
        <f t="shared" si="44"/>
        <v>0.010799+39.523145i</v>
      </c>
      <c r="EA186" s="14" t="str">
        <f t="shared" si="38"/>
        <v>10.798674+0.0001i</v>
      </c>
      <c r="EC186" s="1" t="str">
        <f t="shared" si="39"/>
        <v>0.010799+39.523145i</v>
      </c>
      <c r="ED186" s="1" t="str">
        <f t="shared" si="40"/>
        <v>0.112663+426.797559i</v>
      </c>
      <c r="EE186" s="1" t="str">
        <f t="shared" si="41"/>
        <v>10.809473+39.523245i</v>
      </c>
      <c r="EF186" s="1" t="str">
        <f t="shared" si="42"/>
        <v>10.047844+2.745201i</v>
      </c>
      <c r="EG186" s="1" t="str">
        <f t="shared" si="43"/>
        <v>10.047944+2.007587i</v>
      </c>
      <c r="FN186" s="1">
        <f t="shared" si="46"/>
        <v>37.200000000000003</v>
      </c>
      <c r="FO186" s="1">
        <f t="shared" si="47"/>
        <v>10.263389530141202</v>
      </c>
    </row>
    <row r="187" spans="2:171" ht="18" customHeight="1" x14ac:dyDescent="0.25">
      <c r="B187" s="6"/>
      <c r="C187" s="90"/>
      <c r="D187" s="90"/>
      <c r="E187" s="90"/>
      <c r="F187" s="90"/>
      <c r="G187" s="90"/>
      <c r="H187" s="90"/>
      <c r="I187" s="90"/>
      <c r="J187" s="90"/>
      <c r="K187" s="90"/>
      <c r="L187" s="90"/>
      <c r="AP187" s="8"/>
      <c r="AR187" s="6"/>
      <c r="CF187" s="8"/>
      <c r="DW187" s="1">
        <f t="shared" si="45"/>
        <v>36.799999999999997</v>
      </c>
      <c r="DX187" s="12" t="str">
        <f t="shared" si="37"/>
        <v>0.0001-0.733606i</v>
      </c>
      <c r="DY187" s="13" t="str">
        <f t="shared" si="48"/>
        <v>0.000000001</v>
      </c>
      <c r="DZ187" s="13" t="str">
        <f t="shared" si="44"/>
        <v>0.010799+39.739119i</v>
      </c>
      <c r="EA187" s="14" t="str">
        <f t="shared" si="38"/>
        <v>10.798674+0.0001i</v>
      </c>
      <c r="EC187" s="1" t="str">
        <f t="shared" si="39"/>
        <v>0.010799+39.739119i</v>
      </c>
      <c r="ED187" s="1" t="str">
        <f t="shared" si="40"/>
        <v>0.112641+429.129792i</v>
      </c>
      <c r="EE187" s="1" t="str">
        <f t="shared" si="41"/>
        <v>10.809473+39.739219i</v>
      </c>
      <c r="EF187" s="1" t="str">
        <f t="shared" si="42"/>
        <v>10.055422+2.732343i</v>
      </c>
      <c r="EG187" s="1" t="str">
        <f t="shared" si="43"/>
        <v>10.055522+1.998737i</v>
      </c>
      <c r="FN187" s="1">
        <f t="shared" si="46"/>
        <v>37.4</v>
      </c>
      <c r="FO187" s="1">
        <f t="shared" si="47"/>
        <v>10.268837367781222</v>
      </c>
    </row>
    <row r="188" spans="2:171" ht="18" customHeight="1" x14ac:dyDescent="0.25">
      <c r="B188" s="6"/>
      <c r="C188" s="90"/>
      <c r="D188" s="90"/>
      <c r="E188" s="90"/>
      <c r="F188" s="90"/>
      <c r="G188" s="90"/>
      <c r="H188" s="90"/>
      <c r="I188" s="90"/>
      <c r="J188" s="90"/>
      <c r="K188" s="90"/>
      <c r="L188" s="90"/>
      <c r="AP188" s="8"/>
      <c r="AR188" s="6"/>
      <c r="CF188" s="8"/>
      <c r="DW188" s="1">
        <f t="shared" si="45"/>
        <v>37</v>
      </c>
      <c r="DX188" s="12" t="str">
        <f t="shared" si="37"/>
        <v>0.0001-0.72964i</v>
      </c>
      <c r="DY188" s="13" t="str">
        <f t="shared" si="48"/>
        <v>0.000000001</v>
      </c>
      <c r="DZ188" s="13" t="str">
        <f t="shared" si="44"/>
        <v>0.010799+39.955092i</v>
      </c>
      <c r="EA188" s="14" t="str">
        <f t="shared" si="38"/>
        <v>10.798674+0.0001i</v>
      </c>
      <c r="EC188" s="1" t="str">
        <f t="shared" si="39"/>
        <v>0.010799+39.955092i</v>
      </c>
      <c r="ED188" s="1" t="str">
        <f t="shared" si="40"/>
        <v>0.112619+431.462014i</v>
      </c>
      <c r="EE188" s="1" t="str">
        <f t="shared" si="41"/>
        <v>10.809473+39.955192i</v>
      </c>
      <c r="EF188" s="1" t="str">
        <f t="shared" si="42"/>
        <v>10.062888+2.719594i</v>
      </c>
      <c r="EG188" s="1" t="str">
        <f t="shared" si="43"/>
        <v>10.062988+1.989954i</v>
      </c>
      <c r="FN188" s="1">
        <f t="shared" si="46"/>
        <v>37.6</v>
      </c>
      <c r="FO188" s="1">
        <f t="shared" si="47"/>
        <v>10.274203891939509</v>
      </c>
    </row>
    <row r="189" spans="2:171" ht="18" customHeight="1" x14ac:dyDescent="0.25">
      <c r="B189" s="6"/>
      <c r="AP189" s="8"/>
      <c r="AR189" s="6"/>
      <c r="CF189" s="8"/>
      <c r="DW189" s="1">
        <f t="shared" si="45"/>
        <v>37.200000000000003</v>
      </c>
      <c r="DX189" s="12" t="str">
        <f t="shared" si="37"/>
        <v>0.0001-0.725717i</v>
      </c>
      <c r="DY189" s="13" t="str">
        <f t="shared" si="48"/>
        <v>0.000000001</v>
      </c>
      <c r="DZ189" s="13" t="str">
        <f t="shared" si="44"/>
        <v>0.010799+40.171066i</v>
      </c>
      <c r="EA189" s="14" t="str">
        <f t="shared" si="38"/>
        <v>10.798674+0.0001i</v>
      </c>
      <c r="EC189" s="1" t="str">
        <f t="shared" si="39"/>
        <v>0.010799+40.171066i</v>
      </c>
      <c r="ED189" s="1" t="str">
        <f t="shared" si="40"/>
        <v>0.112598+433.794247i</v>
      </c>
      <c r="EE189" s="1" t="str">
        <f t="shared" si="41"/>
        <v>10.809473+40.171166i</v>
      </c>
      <c r="EF189" s="1" t="str">
        <f t="shared" si="42"/>
        <v>10.070246+2.706953i</v>
      </c>
      <c r="EG189" s="1" t="str">
        <f t="shared" si="43"/>
        <v>10.070346+1.981236i</v>
      </c>
      <c r="FN189" s="1">
        <f t="shared" si="46"/>
        <v>37.799999999999997</v>
      </c>
      <c r="FO189" s="1">
        <f t="shared" si="47"/>
        <v>10.279490814055187</v>
      </c>
    </row>
    <row r="190" spans="2:171" ht="18" customHeight="1" x14ac:dyDescent="0.25">
      <c r="B190" s="6"/>
      <c r="AP190" s="8"/>
      <c r="AR190" s="6"/>
      <c r="CF190" s="8"/>
      <c r="DW190" s="1">
        <f t="shared" si="45"/>
        <v>37.4</v>
      </c>
      <c r="DX190" s="12" t="str">
        <f t="shared" si="37"/>
        <v>0.0001-0.721836i</v>
      </c>
      <c r="DY190" s="13" t="str">
        <f t="shared" si="48"/>
        <v>0.000000001</v>
      </c>
      <c r="DZ190" s="13" t="str">
        <f t="shared" si="44"/>
        <v>0.010799+40.387039i</v>
      </c>
      <c r="EA190" s="14" t="str">
        <f t="shared" si="38"/>
        <v>10.798674+0.0001i</v>
      </c>
      <c r="EC190" s="1" t="str">
        <f t="shared" si="39"/>
        <v>0.010799+40.387039i</v>
      </c>
      <c r="ED190" s="1" t="str">
        <f t="shared" si="40"/>
        <v>0.112576+436.126469i</v>
      </c>
      <c r="EE190" s="1" t="str">
        <f t="shared" si="41"/>
        <v>10.809473+40.387139i</v>
      </c>
      <c r="EF190" s="1" t="str">
        <f t="shared" si="42"/>
        <v>10.077496+2.694418i</v>
      </c>
      <c r="EG190" s="1" t="str">
        <f t="shared" si="43"/>
        <v>10.077596+1.972582i</v>
      </c>
      <c r="FN190" s="1">
        <f t="shared" si="46"/>
        <v>38</v>
      </c>
      <c r="FO190" s="1">
        <f t="shared" si="47"/>
        <v>10.284698678752722</v>
      </c>
    </row>
    <row r="191" spans="2:171" ht="18" customHeight="1" x14ac:dyDescent="0.25">
      <c r="B191" s="6"/>
      <c r="AP191" s="8"/>
      <c r="AR191" s="6"/>
      <c r="CF191" s="8"/>
      <c r="DW191" s="1">
        <f t="shared" si="45"/>
        <v>37.6</v>
      </c>
      <c r="DX191" s="12" t="str">
        <f t="shared" si="37"/>
        <v>0.0001-0.717997i</v>
      </c>
      <c r="DY191" s="13" t="str">
        <f t="shared" si="48"/>
        <v>0.000000001</v>
      </c>
      <c r="DZ191" s="13" t="str">
        <f t="shared" si="44"/>
        <v>0.010799+40.603013i</v>
      </c>
      <c r="EA191" s="14" t="str">
        <f t="shared" si="38"/>
        <v>10.798674+0.0001i</v>
      </c>
      <c r="EC191" s="1" t="str">
        <f t="shared" si="39"/>
        <v>0.010799+40.603013i</v>
      </c>
      <c r="ED191" s="1" t="str">
        <f t="shared" si="40"/>
        <v>0.112555+438.458702i</v>
      </c>
      <c r="EE191" s="1" t="str">
        <f t="shared" si="41"/>
        <v>10.809473+40.603113i</v>
      </c>
      <c r="EF191" s="1" t="str">
        <f t="shared" si="42"/>
        <v>10.084641+2.681989i</v>
      </c>
      <c r="EG191" s="1" t="str">
        <f t="shared" si="43"/>
        <v>10.084741+1.963992i</v>
      </c>
      <c r="FN191" s="1">
        <f t="shared" si="46"/>
        <v>38.200000000000003</v>
      </c>
      <c r="FO191" s="1">
        <f t="shared" si="47"/>
        <v>10.289830190518453</v>
      </c>
    </row>
    <row r="192" spans="2:171" ht="18" customHeight="1" x14ac:dyDescent="0.25">
      <c r="B192" s="6"/>
      <c r="AP192" s="8"/>
      <c r="AR192" s="6"/>
      <c r="CF192" s="8"/>
      <c r="DW192" s="1">
        <f t="shared" si="45"/>
        <v>37.799999999999997</v>
      </c>
      <c r="DX192" s="12" t="str">
        <f t="shared" si="37"/>
        <v>0.0001-0.714198i</v>
      </c>
      <c r="DY192" s="13" t="str">
        <f t="shared" si="48"/>
        <v>0.000000001</v>
      </c>
      <c r="DZ192" s="13" t="str">
        <f t="shared" si="44"/>
        <v>0.010799+40.818986i</v>
      </c>
      <c r="EA192" s="14" t="str">
        <f t="shared" si="38"/>
        <v>10.798674+0.0001i</v>
      </c>
      <c r="EC192" s="1" t="str">
        <f t="shared" si="39"/>
        <v>0.010799+40.818986i</v>
      </c>
      <c r="ED192" s="1" t="str">
        <f t="shared" si="40"/>
        <v>0.112533+440.790924i</v>
      </c>
      <c r="EE192" s="1" t="str">
        <f t="shared" si="41"/>
        <v>10.809473+40.819086i</v>
      </c>
      <c r="EF192" s="1" t="str">
        <f t="shared" si="42"/>
        <v>10.091683+2.669664i</v>
      </c>
      <c r="EG192" s="1" t="str">
        <f t="shared" si="43"/>
        <v>10.091783+1.955466i</v>
      </c>
      <c r="FN192" s="1">
        <f t="shared" si="46"/>
        <v>38.4</v>
      </c>
      <c r="FO192" s="1">
        <f t="shared" si="47"/>
        <v>10.29488651399485</v>
      </c>
    </row>
    <row r="193" spans="2:171" ht="18" customHeight="1" x14ac:dyDescent="0.25">
      <c r="B193" s="6"/>
      <c r="AP193" s="8"/>
      <c r="AR193" s="6"/>
      <c r="CF193" s="8"/>
      <c r="DW193" s="1">
        <f t="shared" si="45"/>
        <v>38</v>
      </c>
      <c r="DX193" s="12" t="str">
        <f t="shared" si="37"/>
        <v>0.0001-0.710439i</v>
      </c>
      <c r="DY193" s="13" t="str">
        <f t="shared" si="48"/>
        <v>0.000000001</v>
      </c>
      <c r="DZ193" s="13" t="str">
        <f t="shared" si="44"/>
        <v>0.010799+41.03496i</v>
      </c>
      <c r="EA193" s="14" t="str">
        <f t="shared" si="38"/>
        <v>10.798674+0.0001i</v>
      </c>
      <c r="EC193" s="1" t="str">
        <f t="shared" si="39"/>
        <v>0.010799+41.03496i</v>
      </c>
      <c r="ED193" s="1" t="str">
        <f t="shared" si="40"/>
        <v>0.112511+443.123157i</v>
      </c>
      <c r="EE193" s="1" t="str">
        <f t="shared" si="41"/>
        <v>10.809473+41.03506i</v>
      </c>
      <c r="EF193" s="1" t="str">
        <f t="shared" si="42"/>
        <v>10.098623+2.657442i</v>
      </c>
      <c r="EG193" s="1" t="str">
        <f t="shared" si="43"/>
        <v>10.098723+1.947003i</v>
      </c>
      <c r="FN193" s="1">
        <f t="shared" si="46"/>
        <v>38.6</v>
      </c>
      <c r="FO193" s="1">
        <f t="shared" si="47"/>
        <v>10.299869152474949</v>
      </c>
    </row>
    <row r="194" spans="2:171" ht="18" customHeight="1" thickBot="1" x14ac:dyDescent="0.3">
      <c r="B194" s="6"/>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1"/>
      <c r="AO194" s="10"/>
      <c r="AP194" s="8"/>
      <c r="AR194" s="6"/>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1"/>
      <c r="CE194" s="10"/>
      <c r="CF194" s="8"/>
      <c r="DW194" s="1">
        <f t="shared" si="45"/>
        <v>38.200000000000003</v>
      </c>
      <c r="DX194" s="12" t="str">
        <f t="shared" si="37"/>
        <v>0.0001-0.706719i</v>
      </c>
      <c r="DY194" s="13" t="str">
        <f t="shared" si="48"/>
        <v>0.000000001</v>
      </c>
      <c r="DZ194" s="13" t="str">
        <f t="shared" si="44"/>
        <v>0.010799+41.250933i</v>
      </c>
      <c r="EA194" s="14" t="str">
        <f t="shared" si="38"/>
        <v>10.798674+0.0001i</v>
      </c>
      <c r="EC194" s="1" t="str">
        <f t="shared" si="39"/>
        <v>0.010799+41.250933i</v>
      </c>
      <c r="ED194" s="1" t="str">
        <f t="shared" si="40"/>
        <v>0.11249+445.455379i</v>
      </c>
      <c r="EE194" s="1" t="str">
        <f t="shared" si="41"/>
        <v>10.809473+41.251033i</v>
      </c>
      <c r="EF194" s="1" t="str">
        <f t="shared" si="42"/>
        <v>10.105464+2.645322i</v>
      </c>
      <c r="EG194" s="1" t="str">
        <f t="shared" si="43"/>
        <v>10.105564+1.938603i</v>
      </c>
      <c r="FN194" s="1">
        <f t="shared" si="46"/>
        <v>38.799999999999997</v>
      </c>
      <c r="FO194" s="1">
        <f t="shared" si="47"/>
        <v>10.304779095183992</v>
      </c>
    </row>
    <row r="195" spans="2:171" ht="18" customHeight="1" x14ac:dyDescent="0.25">
      <c r="B195" s="6"/>
      <c r="D195" s="44" t="s">
        <v>94</v>
      </c>
      <c r="AO195" s="29" t="s">
        <v>199</v>
      </c>
      <c r="AP195" s="8"/>
      <c r="AR195" s="6"/>
      <c r="AT195" s="44" t="s">
        <v>94</v>
      </c>
      <c r="CE195" s="29" t="s">
        <v>200</v>
      </c>
      <c r="CF195" s="8"/>
      <c r="DW195" s="1">
        <f t="shared" si="45"/>
        <v>38.4</v>
      </c>
      <c r="DX195" s="12" t="str">
        <f t="shared" si="37"/>
        <v>0.0001-0.703039i</v>
      </c>
      <c r="DY195" s="13" t="str">
        <f t="shared" si="48"/>
        <v>0.000000001</v>
      </c>
      <c r="DZ195" s="13" t="str">
        <f t="shared" si="44"/>
        <v>0.010799+41.466907i</v>
      </c>
      <c r="EA195" s="14" t="str">
        <f t="shared" si="38"/>
        <v>10.798674+0.0001i</v>
      </c>
      <c r="EC195" s="1" t="str">
        <f t="shared" si="39"/>
        <v>0.010799+41.466907i</v>
      </c>
      <c r="ED195" s="1" t="str">
        <f t="shared" si="40"/>
        <v>0.112468+447.787612i</v>
      </c>
      <c r="EE195" s="1" t="str">
        <f t="shared" si="41"/>
        <v>10.809473+41.467007i</v>
      </c>
      <c r="EF195" s="1" t="str">
        <f t="shared" si="42"/>
        <v>10.112208+2.633302i</v>
      </c>
      <c r="EG195" s="1" t="str">
        <f t="shared" si="43"/>
        <v>10.112308+1.930263i</v>
      </c>
      <c r="FN195" s="1">
        <f t="shared" si="46"/>
        <v>39</v>
      </c>
      <c r="FO195" s="1">
        <f t="shared" si="47"/>
        <v>10.30961729087443</v>
      </c>
    </row>
    <row r="196" spans="2:171" ht="18" customHeight="1" x14ac:dyDescent="0.25">
      <c r="B196" s="46"/>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8"/>
      <c r="AR196" s="46"/>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8"/>
      <c r="DW196" s="1">
        <f t="shared" si="45"/>
        <v>38.6</v>
      </c>
      <c r="DX196" s="12" t="str">
        <f t="shared" si="37"/>
        <v>0.0001-0.699396i</v>
      </c>
      <c r="DY196" s="13" t="str">
        <f t="shared" si="48"/>
        <v>0.000000001</v>
      </c>
      <c r="DZ196" s="13" t="str">
        <f t="shared" si="44"/>
        <v>0.010799+41.68288i</v>
      </c>
      <c r="EA196" s="14" t="str">
        <f t="shared" si="38"/>
        <v>10.798674+0.0001i</v>
      </c>
      <c r="EC196" s="1" t="str">
        <f t="shared" si="39"/>
        <v>0.010799+41.68288i</v>
      </c>
      <c r="ED196" s="1" t="str">
        <f t="shared" si="40"/>
        <v>0.112447+450.119834i</v>
      </c>
      <c r="EE196" s="1" t="str">
        <f t="shared" si="41"/>
        <v>10.809473+41.68298i</v>
      </c>
      <c r="EF196" s="1" t="str">
        <f t="shared" si="42"/>
        <v>10.118856+2.621383i</v>
      </c>
      <c r="EG196" s="1" t="str">
        <f t="shared" si="43"/>
        <v>10.118956+1.921987i</v>
      </c>
      <c r="FN196" s="1">
        <f t="shared" si="46"/>
        <v>39.200000000000003</v>
      </c>
      <c r="FO196" s="1">
        <f t="shared" si="47"/>
        <v>10.314386285882694</v>
      </c>
    </row>
    <row r="197" spans="2:171" ht="18" customHeight="1" x14ac:dyDescent="0.25">
      <c r="DW197" s="1">
        <f t="shared" si="45"/>
        <v>38.799999999999997</v>
      </c>
      <c r="DX197" s="12" t="str">
        <f t="shared" si="37"/>
        <v>0.0001-0.695791i</v>
      </c>
      <c r="DY197" s="13" t="str">
        <f t="shared" si="48"/>
        <v>0.000000001</v>
      </c>
      <c r="DZ197" s="13" t="str">
        <f t="shared" si="44"/>
        <v>0.010799+41.898854i</v>
      </c>
      <c r="EA197" s="14" t="str">
        <f t="shared" si="38"/>
        <v>10.798674+0.0001i</v>
      </c>
      <c r="EC197" s="1" t="str">
        <f t="shared" si="39"/>
        <v>0.010799+41.898854i</v>
      </c>
      <c r="ED197" s="1" t="str">
        <f t="shared" si="40"/>
        <v>0.112425+452.452066i</v>
      </c>
      <c r="EE197" s="1" t="str">
        <f t="shared" si="41"/>
        <v>10.809473+41.898954i</v>
      </c>
      <c r="EF197" s="1" t="str">
        <f t="shared" si="42"/>
        <v>10.12541+2.609562i</v>
      </c>
      <c r="EG197" s="1" t="str">
        <f t="shared" si="43"/>
        <v>10.12551+1.913771i</v>
      </c>
      <c r="FN197" s="1">
        <f t="shared" si="46"/>
        <v>39.4</v>
      </c>
      <c r="FO197" s="1">
        <f t="shared" si="47"/>
        <v>10.3190866682377</v>
      </c>
    </row>
    <row r="198" spans="2:171" ht="18" customHeight="1" x14ac:dyDescent="0.25">
      <c r="DW198" s="1">
        <f t="shared" si="45"/>
        <v>39</v>
      </c>
      <c r="DX198" s="12" t="str">
        <f t="shared" ref="DX198:DX253" si="49">COMPLEX(ROUND(0.0001,6),ROUND(-$AJ$30/DW198,6))</f>
        <v>0.0001-0.692223i</v>
      </c>
      <c r="DY198" s="13" t="str">
        <f t="shared" si="48"/>
        <v>0.000000001</v>
      </c>
      <c r="DZ198" s="13" t="str">
        <f t="shared" si="44"/>
        <v>0.010799+42.114827i</v>
      </c>
      <c r="EA198" s="14" t="str">
        <f t="shared" ref="EA198:EA253" si="50">COMPLEX(ROUND($AJ$40,6),ROUND(0.0001,6))</f>
        <v>10.798674+0.0001i</v>
      </c>
      <c r="EC198" s="1" t="str">
        <f t="shared" ref="EC198:EC253" si="51">COMPLEX(ROUND(IMREAL(IMSUM(DZ198,DY198)),6),ROUND(IMAGINARY(IMSUM(DZ198,DY198)),6))</f>
        <v>0.010799+42.114827i</v>
      </c>
      <c r="ED198" s="1" t="str">
        <f t="shared" ref="ED198:ED253" si="52">COMPLEX(ROUND(IMREAL(IMPRODUCT(EC198,EA198)),6),ROUND(IMAGINARY(IMPRODUCT(EC198,EA198)),6))</f>
        <v>0.112403+454.784288i</v>
      </c>
      <c r="EE198" s="1" t="str">
        <f t="shared" ref="EE198:EE253" si="53">COMPLEX(ROUND(IMREAL(IMSUM(EA198,EC198)),6),ROUND(IMAGINARY(IMSUM(EA198,EC198)),6))</f>
        <v>10.809473+42.114927i</v>
      </c>
      <c r="EF198" s="1" t="str">
        <f t="shared" ref="EF198:EF253" si="54">COMPLEX(ROUND(IMREAL(IMDIV(ED198,EE198)),6),ROUND(IMAGINARY(IMDIV(ED198,EE198)),6))</f>
        <v>10.131871+2.597839i</v>
      </c>
      <c r="EG198" s="1" t="str">
        <f t="shared" ref="EG198:EG253" si="55">COMPLEX(ROUND(IMREAL(IMSUM(EF198,DX198)),6),ROUND(IMAGINARY(IMSUM(EF198,DX198)),6))</f>
        <v>10.131971+1.905616i</v>
      </c>
      <c r="FN198" s="1">
        <f t="shared" si="46"/>
        <v>39.6</v>
      </c>
      <c r="FO198" s="1">
        <f t="shared" si="47"/>
        <v>10.323720380165378</v>
      </c>
    </row>
    <row r="199" spans="2:171" x14ac:dyDescent="0.25">
      <c r="DW199" s="1">
        <f t="shared" si="45"/>
        <v>39.200000000000003</v>
      </c>
      <c r="DX199" s="12" t="str">
        <f t="shared" si="49"/>
        <v>0.0001-0.688691i</v>
      </c>
      <c r="DY199" s="13" t="str">
        <f t="shared" si="48"/>
        <v>0.000000001</v>
      </c>
      <c r="DZ199" s="13" t="str">
        <f t="shared" ref="DZ199:DZ253" si="56">COMPLEX(ROUND($AJ$34/$S$34,6),ROUND($AJ$34*DW199,6))</f>
        <v>0.010799+42.330801i</v>
      </c>
      <c r="EA199" s="14" t="str">
        <f t="shared" si="50"/>
        <v>10.798674+0.0001i</v>
      </c>
      <c r="EC199" s="1" t="str">
        <f t="shared" si="51"/>
        <v>0.010799+42.330801i</v>
      </c>
      <c r="ED199" s="1" t="str">
        <f t="shared" si="52"/>
        <v>0.112382+457.116521i</v>
      </c>
      <c r="EE199" s="1" t="str">
        <f t="shared" si="53"/>
        <v>10.809473+42.330901i</v>
      </c>
      <c r="EF199" s="1" t="str">
        <f t="shared" si="54"/>
        <v>10.138242+2.586212i</v>
      </c>
      <c r="EG199" s="1" t="str">
        <f t="shared" si="55"/>
        <v>10.138342+1.897521i</v>
      </c>
      <c r="FN199" s="1">
        <f t="shared" si="46"/>
        <v>39.799999999999997</v>
      </c>
      <c r="FO199" s="1">
        <f t="shared" si="47"/>
        <v>10.328287836445353</v>
      </c>
    </row>
    <row r="200" spans="2:171" x14ac:dyDescent="0.25">
      <c r="DW200" s="1">
        <f t="shared" ref="DW200:DW253" si="57">ROUND(DW199+0.2,1)</f>
        <v>39.4</v>
      </c>
      <c r="DX200" s="12" t="str">
        <f t="shared" si="49"/>
        <v>0.0001-0.685195i</v>
      </c>
      <c r="DY200" s="13" t="str">
        <f t="shared" si="48"/>
        <v>0.000000001</v>
      </c>
      <c r="DZ200" s="13" t="str">
        <f t="shared" si="56"/>
        <v>0.010799+42.546774i</v>
      </c>
      <c r="EA200" s="14" t="str">
        <f t="shared" si="50"/>
        <v>10.798674+0.0001i</v>
      </c>
      <c r="EC200" s="1" t="str">
        <f t="shared" si="51"/>
        <v>0.010799+42.546774i</v>
      </c>
      <c r="ED200" s="1" t="str">
        <f t="shared" si="52"/>
        <v>0.11236+459.448743i</v>
      </c>
      <c r="EE200" s="1" t="str">
        <f t="shared" si="53"/>
        <v>10.809473+42.546874i</v>
      </c>
      <c r="EF200" s="1" t="str">
        <f t="shared" si="54"/>
        <v>10.144524+2.57468i</v>
      </c>
      <c r="EG200" s="1" t="str">
        <f t="shared" si="55"/>
        <v>10.144624+1.889485i</v>
      </c>
      <c r="FN200" s="1">
        <f t="shared" si="46"/>
        <v>40</v>
      </c>
      <c r="FO200" s="1">
        <f t="shared" si="47"/>
        <v>10.332790986758273</v>
      </c>
    </row>
    <row r="201" spans="2:171" x14ac:dyDescent="0.25">
      <c r="DW201" s="1">
        <f t="shared" si="57"/>
        <v>39.6</v>
      </c>
      <c r="DX201" s="12" t="str">
        <f t="shared" si="49"/>
        <v>0.0001-0.681734i</v>
      </c>
      <c r="DY201" s="13" t="str">
        <f t="shared" si="48"/>
        <v>0.000000001</v>
      </c>
      <c r="DZ201" s="13" t="str">
        <f t="shared" si="56"/>
        <v>0.010799+42.762748i</v>
      </c>
      <c r="EA201" s="14" t="str">
        <f t="shared" si="50"/>
        <v>10.798674+0.0001i</v>
      </c>
      <c r="EC201" s="1" t="str">
        <f t="shared" si="51"/>
        <v>0.010799+42.762748i</v>
      </c>
      <c r="ED201" s="1" t="str">
        <f t="shared" si="52"/>
        <v>0.112339+461.780976i</v>
      </c>
      <c r="EE201" s="1" t="str">
        <f t="shared" si="53"/>
        <v>10.809473+42.762848i</v>
      </c>
      <c r="EF201" s="1" t="str">
        <f t="shared" si="54"/>
        <v>10.150719+2.563243i</v>
      </c>
      <c r="EG201" s="1" t="str">
        <f t="shared" si="55"/>
        <v>10.150819+1.881509i</v>
      </c>
      <c r="FN201" s="1">
        <f t="shared" si="46"/>
        <v>40.200000000000003</v>
      </c>
      <c r="FO201" s="1">
        <f t="shared" si="47"/>
        <v>10.337230257952319</v>
      </c>
    </row>
    <row r="202" spans="2:171" x14ac:dyDescent="0.25">
      <c r="DW202" s="1">
        <f t="shared" si="57"/>
        <v>39.799999999999997</v>
      </c>
      <c r="DX202" s="12" t="str">
        <f t="shared" si="49"/>
        <v>0.0001-0.678309i</v>
      </c>
      <c r="DY202" s="13" t="str">
        <f t="shared" si="48"/>
        <v>0.000000001</v>
      </c>
      <c r="DZ202" s="13" t="str">
        <f t="shared" si="56"/>
        <v>0.010799+42.978721i</v>
      </c>
      <c r="EA202" s="14" t="str">
        <f t="shared" si="50"/>
        <v>10.798674+0.0001i</v>
      </c>
      <c r="EC202" s="1" t="str">
        <f t="shared" si="51"/>
        <v>0.010799+42.978721i</v>
      </c>
      <c r="ED202" s="1" t="str">
        <f t="shared" si="52"/>
        <v>0.112317+464.113198i</v>
      </c>
      <c r="EE202" s="1" t="str">
        <f t="shared" si="53"/>
        <v>10.809473+42.978821i</v>
      </c>
      <c r="EF202" s="1" t="str">
        <f t="shared" si="54"/>
        <v>10.156828+2.5519i</v>
      </c>
      <c r="EG202" s="1" t="str">
        <f t="shared" si="55"/>
        <v>10.156928+1.873591i</v>
      </c>
      <c r="FN202" s="1">
        <f t="shared" si="46"/>
        <v>40.4</v>
      </c>
      <c r="FO202" s="1">
        <f t="shared" si="47"/>
        <v>10.341607249039775</v>
      </c>
    </row>
    <row r="203" spans="2:171" x14ac:dyDescent="0.25">
      <c r="DW203" s="1">
        <f t="shared" si="57"/>
        <v>40</v>
      </c>
      <c r="DX203" s="12" t="str">
        <f t="shared" si="49"/>
        <v>0.0001-0.674917i</v>
      </c>
      <c r="DY203" s="13" t="str">
        <f t="shared" si="48"/>
        <v>0.000000001</v>
      </c>
      <c r="DZ203" s="13" t="str">
        <f t="shared" si="56"/>
        <v>0.010799+43.194694i</v>
      </c>
      <c r="EA203" s="14" t="str">
        <f t="shared" si="50"/>
        <v>10.798674+0.0001i</v>
      </c>
      <c r="EC203" s="1" t="str">
        <f t="shared" si="51"/>
        <v>0.010799+43.194694i</v>
      </c>
      <c r="ED203" s="1" t="str">
        <f t="shared" si="52"/>
        <v>0.112295+466.44542i</v>
      </c>
      <c r="EE203" s="1" t="str">
        <f t="shared" si="53"/>
        <v>10.809473+43.194794i</v>
      </c>
      <c r="EF203" s="1" t="str">
        <f t="shared" si="54"/>
        <v>10.162853+2.540649i</v>
      </c>
      <c r="EG203" s="1" t="str">
        <f t="shared" si="55"/>
        <v>10.162953+1.865732i</v>
      </c>
      <c r="FN203" s="1">
        <f t="shared" si="46"/>
        <v>40.6</v>
      </c>
      <c r="FO203" s="1">
        <f t="shared" si="47"/>
        <v>10.345923115816442</v>
      </c>
    </row>
    <row r="204" spans="2:171" x14ac:dyDescent="0.25">
      <c r="DW204" s="1">
        <f t="shared" si="57"/>
        <v>40.200000000000003</v>
      </c>
      <c r="DX204" s="12" t="str">
        <f t="shared" si="49"/>
        <v>0.0001-0.671559i</v>
      </c>
      <c r="DY204" s="13" t="str">
        <f t="shared" si="48"/>
        <v>0.000000001</v>
      </c>
      <c r="DZ204" s="13" t="str">
        <f t="shared" si="56"/>
        <v>0.010799+43.410668i</v>
      </c>
      <c r="EA204" s="14" t="str">
        <f t="shared" si="50"/>
        <v>10.798674+0.0001i</v>
      </c>
      <c r="EC204" s="1" t="str">
        <f t="shared" si="51"/>
        <v>0.010799+43.410668i</v>
      </c>
      <c r="ED204" s="1" t="str">
        <f t="shared" si="52"/>
        <v>0.112274+468.777653i</v>
      </c>
      <c r="EE204" s="1" t="str">
        <f t="shared" si="53"/>
        <v>10.809473+43.410768i</v>
      </c>
      <c r="EF204" s="1" t="str">
        <f t="shared" si="54"/>
        <v>10.168795+2.529489i</v>
      </c>
      <c r="EG204" s="1" t="str">
        <f t="shared" si="55"/>
        <v>10.168895+1.85793i</v>
      </c>
      <c r="FN204" s="1">
        <f t="shared" si="46"/>
        <v>40.799999999999997</v>
      </c>
      <c r="FO204" s="1">
        <f t="shared" si="47"/>
        <v>10.350179285215113</v>
      </c>
    </row>
    <row r="205" spans="2:171" x14ac:dyDescent="0.25">
      <c r="DW205" s="1">
        <f t="shared" si="57"/>
        <v>40.4</v>
      </c>
      <c r="DX205" s="12" t="str">
        <f t="shared" si="49"/>
        <v>0.0001-0.668235i</v>
      </c>
      <c r="DY205" s="13" t="str">
        <f t="shared" si="48"/>
        <v>0.000000001</v>
      </c>
      <c r="DZ205" s="13" t="str">
        <f t="shared" si="56"/>
        <v>0.010799+43.626641i</v>
      </c>
      <c r="EA205" s="14" t="str">
        <f t="shared" si="50"/>
        <v>10.798674+0.0001i</v>
      </c>
      <c r="EC205" s="1" t="str">
        <f t="shared" si="51"/>
        <v>0.010799+43.626641i</v>
      </c>
      <c r="ED205" s="1" t="str">
        <f t="shared" si="52"/>
        <v>0.112252+471.109875i</v>
      </c>
      <c r="EE205" s="1" t="str">
        <f t="shared" si="53"/>
        <v>10.809473+43.626741i</v>
      </c>
      <c r="EF205" s="1" t="str">
        <f t="shared" si="54"/>
        <v>10.174656+2.518419i</v>
      </c>
      <c r="EG205" s="1" t="str">
        <f t="shared" si="55"/>
        <v>10.174756+1.850184i</v>
      </c>
      <c r="FN205" s="1">
        <f t="shared" si="46"/>
        <v>41</v>
      </c>
      <c r="FO205" s="1">
        <f t="shared" si="47"/>
        <v>10.354376385969607</v>
      </c>
    </row>
    <row r="206" spans="2:171" x14ac:dyDescent="0.25">
      <c r="DW206" s="1">
        <f t="shared" si="57"/>
        <v>40.6</v>
      </c>
      <c r="DX206" s="12" t="str">
        <f t="shared" si="49"/>
        <v>0.0001-0.664943i</v>
      </c>
      <c r="DY206" s="13" t="str">
        <f t="shared" si="48"/>
        <v>0.000000001</v>
      </c>
      <c r="DZ206" s="13" t="str">
        <f t="shared" si="56"/>
        <v>0.010799+43.842615i</v>
      </c>
      <c r="EA206" s="14" t="str">
        <f t="shared" si="50"/>
        <v>10.798674+0.0001i</v>
      </c>
      <c r="EC206" s="1" t="str">
        <f t="shared" si="51"/>
        <v>0.010799+43.842615i</v>
      </c>
      <c r="ED206" s="1" t="str">
        <f t="shared" si="52"/>
        <v>0.112231+473.442108i</v>
      </c>
      <c r="EE206" s="1" t="str">
        <f t="shared" si="53"/>
        <v>10.809473+43.842715i</v>
      </c>
      <c r="EF206" s="1" t="str">
        <f t="shared" si="54"/>
        <v>10.180437+2.507439i</v>
      </c>
      <c r="EG206" s="1" t="str">
        <f t="shared" si="55"/>
        <v>10.180537+1.842496i</v>
      </c>
      <c r="FN206" s="1">
        <f t="shared" si="46"/>
        <v>41.2</v>
      </c>
      <c r="FO206" s="1">
        <f t="shared" si="47"/>
        <v>10.358515403850689</v>
      </c>
    </row>
    <row r="207" spans="2:171" x14ac:dyDescent="0.25">
      <c r="DW207" s="1">
        <f t="shared" si="57"/>
        <v>40.799999999999997</v>
      </c>
      <c r="DX207" s="12" t="str">
        <f t="shared" si="49"/>
        <v>0.0001-0.661683i</v>
      </c>
      <c r="DY207" s="13" t="str">
        <f t="shared" si="48"/>
        <v>0.000000001</v>
      </c>
      <c r="DZ207" s="13" t="str">
        <f t="shared" si="56"/>
        <v>0.010799+44.058588i</v>
      </c>
      <c r="EA207" s="14" t="str">
        <f t="shared" si="50"/>
        <v>10.798674+0.0001i</v>
      </c>
      <c r="EC207" s="1" t="str">
        <f t="shared" si="51"/>
        <v>0.010799+44.058588i</v>
      </c>
      <c r="ED207" s="1" t="str">
        <f t="shared" si="52"/>
        <v>0.112209+475.77433i</v>
      </c>
      <c r="EE207" s="1" t="str">
        <f t="shared" si="53"/>
        <v>10.809473+44.058688i</v>
      </c>
      <c r="EF207" s="1" t="str">
        <f t="shared" si="54"/>
        <v>10.18614+2.496547i</v>
      </c>
      <c r="EG207" s="1" t="str">
        <f t="shared" si="55"/>
        <v>10.18624+1.834864i</v>
      </c>
      <c r="FN207" s="1">
        <f t="shared" si="46"/>
        <v>41.4</v>
      </c>
      <c r="FO207" s="1">
        <f t="shared" si="47"/>
        <v>10.362597783811982</v>
      </c>
    </row>
    <row r="208" spans="2:171" x14ac:dyDescent="0.25">
      <c r="DW208" s="1">
        <f t="shared" si="57"/>
        <v>41</v>
      </c>
      <c r="DX208" s="12" t="str">
        <f t="shared" si="49"/>
        <v>0.0001-0.658456i</v>
      </c>
      <c r="DY208" s="13" t="str">
        <f t="shared" si="48"/>
        <v>0.000000001</v>
      </c>
      <c r="DZ208" s="13" t="str">
        <f t="shared" si="56"/>
        <v>0.010799+44.274562i</v>
      </c>
      <c r="EA208" s="14" t="str">
        <f t="shared" si="50"/>
        <v>10.798674+0.0001i</v>
      </c>
      <c r="EC208" s="1" t="str">
        <f t="shared" si="51"/>
        <v>0.010799+44.274562i</v>
      </c>
      <c r="ED208" s="1" t="str">
        <f t="shared" si="52"/>
        <v>0.112187+478.106563i</v>
      </c>
      <c r="EE208" s="1" t="str">
        <f t="shared" si="53"/>
        <v>10.809473+44.274662i</v>
      </c>
      <c r="EF208" s="1" t="str">
        <f t="shared" si="54"/>
        <v>10.191766+2.485743i</v>
      </c>
      <c r="EG208" s="1" t="str">
        <f t="shared" si="55"/>
        <v>10.191866+1.827287i</v>
      </c>
      <c r="FN208" s="1">
        <f t="shared" si="46"/>
        <v>41.6</v>
      </c>
      <c r="FO208" s="1">
        <f t="shared" si="47"/>
        <v>10.366624517642856</v>
      </c>
    </row>
    <row r="209" spans="127:171" x14ac:dyDescent="0.25">
      <c r="DW209" s="1">
        <f t="shared" si="57"/>
        <v>41.2</v>
      </c>
      <c r="DX209" s="12" t="str">
        <f t="shared" si="49"/>
        <v>0.0001-0.655259i</v>
      </c>
      <c r="DY209" s="13" t="str">
        <f t="shared" si="48"/>
        <v>0.000000001</v>
      </c>
      <c r="DZ209" s="13" t="str">
        <f t="shared" si="56"/>
        <v>0.010799+44.490535i</v>
      </c>
      <c r="EA209" s="14" t="str">
        <f t="shared" si="50"/>
        <v>10.798674+0.0001i</v>
      </c>
      <c r="EC209" s="1" t="str">
        <f t="shared" si="51"/>
        <v>0.010799+44.490535i</v>
      </c>
      <c r="ED209" s="1" t="str">
        <f t="shared" si="52"/>
        <v>0.112166+480.438785i</v>
      </c>
      <c r="EE209" s="1" t="str">
        <f t="shared" si="53"/>
        <v>10.809473+44.490635i</v>
      </c>
      <c r="EF209" s="1" t="str">
        <f t="shared" si="54"/>
        <v>10.197316+2.475025i</v>
      </c>
      <c r="EG209" s="1" t="str">
        <f t="shared" si="55"/>
        <v>10.197416+1.819766i</v>
      </c>
      <c r="FN209" s="1">
        <f t="shared" si="46"/>
        <v>41.8</v>
      </c>
      <c r="FO209" s="1">
        <f t="shared" si="47"/>
        <v>10.370596076342959</v>
      </c>
    </row>
    <row r="210" spans="127:171" x14ac:dyDescent="0.25">
      <c r="DW210" s="1">
        <f t="shared" si="57"/>
        <v>41.4</v>
      </c>
      <c r="DX210" s="12" t="str">
        <f t="shared" si="49"/>
        <v>0.0001-0.652094i</v>
      </c>
      <c r="DY210" s="13" t="str">
        <f t="shared" si="48"/>
        <v>0.000000001</v>
      </c>
      <c r="DZ210" s="13" t="str">
        <f t="shared" si="56"/>
        <v>0.010799+44.706509i</v>
      </c>
      <c r="EA210" s="14" t="str">
        <f t="shared" si="50"/>
        <v>10.798674+0.0001i</v>
      </c>
      <c r="EC210" s="1" t="str">
        <f t="shared" si="51"/>
        <v>0.010799+44.706509i</v>
      </c>
      <c r="ED210" s="1" t="str">
        <f t="shared" si="52"/>
        <v>0.112144+482.771017i</v>
      </c>
      <c r="EE210" s="1" t="str">
        <f t="shared" si="53"/>
        <v>10.809473+44.706609i</v>
      </c>
      <c r="EF210" s="1" t="str">
        <f t="shared" si="54"/>
        <v>10.202792+2.464393i</v>
      </c>
      <c r="EG210" s="1" t="str">
        <f t="shared" si="55"/>
        <v>10.202892+1.812299i</v>
      </c>
      <c r="FN210" s="1">
        <f t="shared" si="46"/>
        <v>42</v>
      </c>
      <c r="FO210" s="1">
        <f t="shared" si="47"/>
        <v>10.374513457060285</v>
      </c>
    </row>
    <row r="211" spans="127:171" x14ac:dyDescent="0.25">
      <c r="DW211" s="1">
        <f t="shared" si="57"/>
        <v>41.6</v>
      </c>
      <c r="DX211" s="12" t="str">
        <f t="shared" si="49"/>
        <v>0.0001-0.648959i</v>
      </c>
      <c r="DY211" s="13" t="str">
        <f t="shared" si="48"/>
        <v>0.000000001</v>
      </c>
      <c r="DZ211" s="13" t="str">
        <f t="shared" si="56"/>
        <v>0.010799+44.922482i</v>
      </c>
      <c r="EA211" s="14" t="str">
        <f t="shared" si="50"/>
        <v>10.798674+0.0001i</v>
      </c>
      <c r="EC211" s="1" t="str">
        <f t="shared" si="51"/>
        <v>0.010799+44.922482i</v>
      </c>
      <c r="ED211" s="1" t="str">
        <f t="shared" si="52"/>
        <v>0.112123+485.103239i</v>
      </c>
      <c r="EE211" s="1" t="str">
        <f t="shared" si="53"/>
        <v>10.809473+44.922582i</v>
      </c>
      <c r="EF211" s="1" t="str">
        <f t="shared" si="54"/>
        <v>10.208195+2.453846i</v>
      </c>
      <c r="EG211" s="1" t="str">
        <f t="shared" si="55"/>
        <v>10.208295+1.804887i</v>
      </c>
      <c r="FN211" s="1">
        <f t="shared" si="46"/>
        <v>42.2</v>
      </c>
      <c r="FO211" s="1">
        <f t="shared" si="47"/>
        <v>10.378378125835896</v>
      </c>
    </row>
    <row r="212" spans="127:171" x14ac:dyDescent="0.25">
      <c r="DW212" s="1">
        <f t="shared" si="57"/>
        <v>41.8</v>
      </c>
      <c r="DX212" s="12" t="str">
        <f t="shared" si="49"/>
        <v>0.0001-0.645854i</v>
      </c>
      <c r="DY212" s="13" t="str">
        <f t="shared" si="48"/>
        <v>0.000000001</v>
      </c>
      <c r="DZ212" s="13" t="str">
        <f t="shared" si="56"/>
        <v>0.010799+45.138456i</v>
      </c>
      <c r="EA212" s="14" t="str">
        <f t="shared" si="50"/>
        <v>10.798674+0.0001i</v>
      </c>
      <c r="EC212" s="1" t="str">
        <f t="shared" si="51"/>
        <v>0.010799+45.138456i</v>
      </c>
      <c r="ED212" s="1" t="str">
        <f t="shared" si="52"/>
        <v>0.112101+487.435472i</v>
      </c>
      <c r="EE212" s="1" t="str">
        <f t="shared" si="53"/>
        <v>10.809473+45.138556i</v>
      </c>
      <c r="EF212" s="1" t="str">
        <f t="shared" si="54"/>
        <v>10.213526+2.443382i</v>
      </c>
      <c r="EG212" s="1" t="str">
        <f t="shared" si="55"/>
        <v>10.213626+1.797528i</v>
      </c>
      <c r="FN212" s="1">
        <f t="shared" si="46"/>
        <v>42.4</v>
      </c>
      <c r="FO212" s="1">
        <f t="shared" si="47"/>
        <v>10.382192070622706</v>
      </c>
    </row>
    <row r="213" spans="127:171" x14ac:dyDescent="0.25">
      <c r="DW213" s="1">
        <f t="shared" si="57"/>
        <v>42</v>
      </c>
      <c r="DX213" s="12" t="str">
        <f t="shared" si="49"/>
        <v>0.0001-0.642778i</v>
      </c>
      <c r="DY213" s="13" t="str">
        <f t="shared" si="48"/>
        <v>0.000000001</v>
      </c>
      <c r="DZ213" s="13" t="str">
        <f t="shared" si="56"/>
        <v>0.010799+45.354429i</v>
      </c>
      <c r="EA213" s="14" t="str">
        <f t="shared" si="50"/>
        <v>10.798674+0.0001i</v>
      </c>
      <c r="EC213" s="1" t="str">
        <f t="shared" si="51"/>
        <v>0.010799+45.354429i</v>
      </c>
      <c r="ED213" s="1" t="str">
        <f t="shared" si="52"/>
        <v>0.112079+489.767694i</v>
      </c>
      <c r="EE213" s="1" t="str">
        <f t="shared" si="53"/>
        <v>10.809473+45.354529i</v>
      </c>
      <c r="EF213" s="1" t="str">
        <f t="shared" si="54"/>
        <v>10.218786+2.433001i</v>
      </c>
      <c r="EG213" s="1" t="str">
        <f t="shared" si="55"/>
        <v>10.218886+1.790223i</v>
      </c>
      <c r="FN213" s="1">
        <f t="shared" si="46"/>
        <v>42.6</v>
      </c>
      <c r="FO213" s="1">
        <f t="shared" si="47"/>
        <v>10.385953982226813</v>
      </c>
    </row>
    <row r="214" spans="127:171" x14ac:dyDescent="0.25">
      <c r="DW214" s="1">
        <f t="shared" si="57"/>
        <v>42.2</v>
      </c>
      <c r="DX214" s="12" t="str">
        <f t="shared" si="49"/>
        <v>0.0001-0.639732i</v>
      </c>
      <c r="DY214" s="13" t="str">
        <f t="shared" si="48"/>
        <v>0.000000001</v>
      </c>
      <c r="DZ214" s="13" t="str">
        <f t="shared" si="56"/>
        <v>0.010799+45.570403i</v>
      </c>
      <c r="EA214" s="14" t="str">
        <f t="shared" si="50"/>
        <v>10.798674+0.0001i</v>
      </c>
      <c r="EC214" s="1" t="str">
        <f t="shared" si="51"/>
        <v>0.010799+45.570403i</v>
      </c>
      <c r="ED214" s="1" t="str">
        <f t="shared" si="52"/>
        <v>0.112058+492.099927i</v>
      </c>
      <c r="EE214" s="1" t="str">
        <f t="shared" si="53"/>
        <v>10.809473+45.570503i</v>
      </c>
      <c r="EF214" s="1" t="str">
        <f t="shared" si="54"/>
        <v>10.223977+2.422702i</v>
      </c>
      <c r="EG214" s="1" t="str">
        <f t="shared" si="55"/>
        <v>10.224077+1.78297i</v>
      </c>
      <c r="FN214" s="1">
        <f t="shared" si="46"/>
        <v>42.8</v>
      </c>
      <c r="FO214" s="1">
        <f t="shared" si="47"/>
        <v>10.389665342521146</v>
      </c>
    </row>
    <row r="215" spans="127:171" x14ac:dyDescent="0.25">
      <c r="DW215" s="1">
        <f t="shared" si="57"/>
        <v>42.4</v>
      </c>
      <c r="DX215" s="12" t="str">
        <f t="shared" si="49"/>
        <v>0.0001-0.636714i</v>
      </c>
      <c r="DY215" s="13" t="str">
        <f t="shared" si="48"/>
        <v>0.000000001</v>
      </c>
      <c r="DZ215" s="13" t="str">
        <f t="shared" si="56"/>
        <v>0.010799+45.786376i</v>
      </c>
      <c r="EA215" s="14" t="str">
        <f t="shared" si="50"/>
        <v>10.798674+0.0001i</v>
      </c>
      <c r="EC215" s="1" t="str">
        <f t="shared" si="51"/>
        <v>0.010799+45.786376i</v>
      </c>
      <c r="ED215" s="1" t="str">
        <f t="shared" si="52"/>
        <v>0.112036+494.432149i</v>
      </c>
      <c r="EE215" s="1" t="str">
        <f t="shared" si="53"/>
        <v>10.809473+45.786476i</v>
      </c>
      <c r="EF215" s="1" t="str">
        <f t="shared" si="54"/>
        <v>10.229101+2.412484i</v>
      </c>
      <c r="EG215" s="1" t="str">
        <f t="shared" si="55"/>
        <v>10.229201+1.77577i</v>
      </c>
      <c r="FN215" s="1">
        <f t="shared" si="46"/>
        <v>43</v>
      </c>
      <c r="FO215" s="1">
        <f t="shared" si="47"/>
        <v>10.393328317070186</v>
      </c>
    </row>
    <row r="216" spans="127:171" x14ac:dyDescent="0.25">
      <c r="DW216" s="1">
        <f t="shared" si="57"/>
        <v>42.6</v>
      </c>
      <c r="DX216" s="12" t="str">
        <f t="shared" si="49"/>
        <v>0.0001-0.633725i</v>
      </c>
      <c r="DY216" s="13" t="str">
        <f t="shared" si="48"/>
        <v>0.000000001</v>
      </c>
      <c r="DZ216" s="13" t="str">
        <f t="shared" si="56"/>
        <v>0.010799+46.00235i</v>
      </c>
      <c r="EA216" s="14" t="str">
        <f t="shared" si="50"/>
        <v>10.798674+0.0001i</v>
      </c>
      <c r="EC216" s="1" t="str">
        <f t="shared" si="51"/>
        <v>0.010799+46.00235i</v>
      </c>
      <c r="ED216" s="1" t="str">
        <f t="shared" si="52"/>
        <v>0.112015+496.764382i</v>
      </c>
      <c r="EE216" s="1" t="str">
        <f t="shared" si="53"/>
        <v>10.809473+46.00245i</v>
      </c>
      <c r="EF216" s="1" t="str">
        <f t="shared" si="54"/>
        <v>10.234157+2.402347i</v>
      </c>
      <c r="EG216" s="1" t="str">
        <f t="shared" si="55"/>
        <v>10.234257+1.768622i</v>
      </c>
      <c r="FN216" s="1">
        <f t="shared" si="46"/>
        <v>43.2</v>
      </c>
      <c r="FO216" s="1">
        <f t="shared" si="47"/>
        <v>10.396942592248648</v>
      </c>
    </row>
    <row r="217" spans="127:171" x14ac:dyDescent="0.25">
      <c r="DW217" s="1">
        <f t="shared" si="57"/>
        <v>42.8</v>
      </c>
      <c r="DX217" s="12" t="str">
        <f t="shared" si="49"/>
        <v>0.0001-0.630764i</v>
      </c>
      <c r="DY217" s="13" t="str">
        <f t="shared" si="48"/>
        <v>0.000000001</v>
      </c>
      <c r="DZ217" s="13" t="str">
        <f t="shared" si="56"/>
        <v>0.010799+46.218323i</v>
      </c>
      <c r="EA217" s="14" t="str">
        <f t="shared" si="50"/>
        <v>10.798674+0.0001i</v>
      </c>
      <c r="EC217" s="1" t="str">
        <f t="shared" si="51"/>
        <v>0.010799+46.218323i</v>
      </c>
      <c r="ED217" s="1" t="str">
        <f t="shared" si="52"/>
        <v>0.111993+499.096604i</v>
      </c>
      <c r="EE217" s="1" t="str">
        <f t="shared" si="53"/>
        <v>10.809473+46.218423i</v>
      </c>
      <c r="EF217" s="1" t="str">
        <f t="shared" si="54"/>
        <v>10.239147+2.392288i</v>
      </c>
      <c r="EG217" s="1" t="str">
        <f t="shared" si="55"/>
        <v>10.239247+1.761524i</v>
      </c>
      <c r="FN217" s="1">
        <f t="shared" si="46"/>
        <v>43.4</v>
      </c>
      <c r="FO217" s="1">
        <f t="shared" si="47"/>
        <v>10.400508844715242</v>
      </c>
    </row>
    <row r="218" spans="127:171" x14ac:dyDescent="0.25">
      <c r="DW218" s="1">
        <f t="shared" si="57"/>
        <v>43</v>
      </c>
      <c r="DX218" s="12" t="str">
        <f t="shared" si="49"/>
        <v>0.0001-0.62783i</v>
      </c>
      <c r="DY218" s="13" t="str">
        <f t="shared" si="48"/>
        <v>0.000000001</v>
      </c>
      <c r="DZ218" s="13" t="str">
        <f t="shared" si="56"/>
        <v>0.010799+46.434297i</v>
      </c>
      <c r="EA218" s="14" t="str">
        <f t="shared" si="50"/>
        <v>10.798674+0.0001i</v>
      </c>
      <c r="EC218" s="1" t="str">
        <f t="shared" si="51"/>
        <v>0.010799+46.434297i</v>
      </c>
      <c r="ED218" s="1" t="str">
        <f t="shared" si="52"/>
        <v>0.111971+501.428837i</v>
      </c>
      <c r="EE218" s="1" t="str">
        <f t="shared" si="53"/>
        <v>10.809473+46.434397i</v>
      </c>
      <c r="EF218" s="1" t="str">
        <f t="shared" si="54"/>
        <v>10.244073+2.382308i</v>
      </c>
      <c r="EG218" s="1" t="str">
        <f t="shared" si="55"/>
        <v>10.244173+1.754478i</v>
      </c>
      <c r="FN218" s="1">
        <f t="shared" si="46"/>
        <v>43.6</v>
      </c>
      <c r="FO218" s="1">
        <f t="shared" si="47"/>
        <v>10.404028741951263</v>
      </c>
    </row>
    <row r="219" spans="127:171" x14ac:dyDescent="0.25">
      <c r="DW219" s="1">
        <f t="shared" si="57"/>
        <v>43.2</v>
      </c>
      <c r="DX219" s="12" t="str">
        <f t="shared" si="49"/>
        <v>0.0001-0.624923i</v>
      </c>
      <c r="DY219" s="13" t="str">
        <f t="shared" si="48"/>
        <v>0.000000001</v>
      </c>
      <c r="DZ219" s="13" t="str">
        <f t="shared" si="56"/>
        <v>0.010799+46.65027i</v>
      </c>
      <c r="EA219" s="14" t="str">
        <f t="shared" si="50"/>
        <v>10.798674+0.0001i</v>
      </c>
      <c r="EC219" s="1" t="str">
        <f t="shared" si="51"/>
        <v>0.010799+46.65027i</v>
      </c>
      <c r="ED219" s="1" t="str">
        <f t="shared" si="52"/>
        <v>0.11195+503.761059i</v>
      </c>
      <c r="EE219" s="1" t="str">
        <f t="shared" si="53"/>
        <v>10.809473+46.65037i</v>
      </c>
      <c r="EF219" s="1" t="str">
        <f t="shared" si="54"/>
        <v>10.248935+2.372406i</v>
      </c>
      <c r="EG219" s="1" t="str">
        <f t="shared" si="55"/>
        <v>10.249035+1.747483i</v>
      </c>
      <c r="FN219" s="1">
        <f t="shared" si="46"/>
        <v>43.8</v>
      </c>
      <c r="FO219" s="1">
        <f t="shared" si="47"/>
        <v>10.407503136416773</v>
      </c>
    </row>
    <row r="220" spans="127:171" x14ac:dyDescent="0.25">
      <c r="DW220" s="1">
        <f t="shared" si="57"/>
        <v>43.4</v>
      </c>
      <c r="DX220" s="12" t="str">
        <f t="shared" si="49"/>
        <v>0.0001-0.622043i</v>
      </c>
      <c r="DY220" s="13" t="str">
        <f t="shared" si="48"/>
        <v>0.000000001</v>
      </c>
      <c r="DZ220" s="13" t="str">
        <f t="shared" si="56"/>
        <v>0.010799+46.866243i</v>
      </c>
      <c r="EA220" s="14" t="str">
        <f t="shared" si="50"/>
        <v>10.798674+0.0001i</v>
      </c>
      <c r="EC220" s="1" t="str">
        <f t="shared" si="51"/>
        <v>0.010799+46.866243i</v>
      </c>
      <c r="ED220" s="1" t="str">
        <f t="shared" si="52"/>
        <v>0.111928+506.093281i</v>
      </c>
      <c r="EE220" s="1" t="str">
        <f t="shared" si="53"/>
        <v>10.809473+46.866343i</v>
      </c>
      <c r="EF220" s="1" t="str">
        <f t="shared" si="54"/>
        <v>10.253734+2.362581i</v>
      </c>
      <c r="EG220" s="1" t="str">
        <f t="shared" si="55"/>
        <v>10.253834+1.740538i</v>
      </c>
      <c r="FN220" s="1">
        <f t="shared" si="46"/>
        <v>44</v>
      </c>
      <c r="FO220" s="1">
        <f t="shared" si="47"/>
        <v>10.410931896109636</v>
      </c>
    </row>
    <row r="221" spans="127:171" x14ac:dyDescent="0.25">
      <c r="DW221" s="1">
        <f t="shared" si="57"/>
        <v>43.6</v>
      </c>
      <c r="DX221" s="12" t="str">
        <f t="shared" si="49"/>
        <v>0.0001-0.61919i</v>
      </c>
      <c r="DY221" s="13" t="str">
        <f t="shared" si="48"/>
        <v>0.000000001</v>
      </c>
      <c r="DZ221" s="13" t="str">
        <f t="shared" si="56"/>
        <v>0.010799+47.082217i</v>
      </c>
      <c r="EA221" s="14" t="str">
        <f t="shared" si="50"/>
        <v>10.798674+0.0001i</v>
      </c>
      <c r="EC221" s="1" t="str">
        <f t="shared" si="51"/>
        <v>0.010799+47.082217i</v>
      </c>
      <c r="ED221" s="1" t="str">
        <f t="shared" si="52"/>
        <v>0.111907+508.425514i</v>
      </c>
      <c r="EE221" s="1" t="str">
        <f t="shared" si="53"/>
        <v>10.809473+47.082317i</v>
      </c>
      <c r="EF221" s="1" t="str">
        <f t="shared" si="54"/>
        <v>10.258472+2.352832i</v>
      </c>
      <c r="EG221" s="1" t="str">
        <f t="shared" si="55"/>
        <v>10.258572+1.733642i</v>
      </c>
      <c r="FN221" s="1">
        <f t="shared" si="46"/>
        <v>44.2</v>
      </c>
      <c r="FO221" s="1">
        <f t="shared" si="47"/>
        <v>10.414316698573796</v>
      </c>
    </row>
    <row r="222" spans="127:171" x14ac:dyDescent="0.25">
      <c r="DW222" s="1">
        <f t="shared" si="57"/>
        <v>43.8</v>
      </c>
      <c r="DX222" s="12" t="str">
        <f t="shared" si="49"/>
        <v>0.0001-0.616363i</v>
      </c>
      <c r="DY222" s="13" t="str">
        <f t="shared" si="48"/>
        <v>0.000000001</v>
      </c>
      <c r="DZ222" s="13" t="str">
        <f t="shared" si="56"/>
        <v>0.010799+47.29819i</v>
      </c>
      <c r="EA222" s="14" t="str">
        <f t="shared" si="50"/>
        <v>10.798674+0.0001i</v>
      </c>
      <c r="EC222" s="1" t="str">
        <f t="shared" si="51"/>
        <v>0.010799+47.29819i</v>
      </c>
      <c r="ED222" s="1" t="str">
        <f t="shared" si="52"/>
        <v>0.111885+510.757736i</v>
      </c>
      <c r="EE222" s="1" t="str">
        <f t="shared" si="53"/>
        <v>10.809473+47.29829i</v>
      </c>
      <c r="EF222" s="1" t="str">
        <f t="shared" si="54"/>
        <v>10.26315+2.343158i</v>
      </c>
      <c r="EG222" s="1" t="str">
        <f t="shared" si="55"/>
        <v>10.26325+1.726795i</v>
      </c>
      <c r="FN222" s="1">
        <f t="shared" si="46"/>
        <v>44.4</v>
      </c>
      <c r="FO222" s="1">
        <f t="shared" si="47"/>
        <v>10.417657581002363</v>
      </c>
    </row>
    <row r="223" spans="127:171" x14ac:dyDescent="0.25">
      <c r="DW223" s="1">
        <f t="shared" si="57"/>
        <v>44</v>
      </c>
      <c r="DX223" s="12" t="str">
        <f t="shared" si="49"/>
        <v>0.0001-0.613561i</v>
      </c>
      <c r="DY223" s="13" t="str">
        <f t="shared" si="48"/>
        <v>0.000000001</v>
      </c>
      <c r="DZ223" s="13" t="str">
        <f t="shared" si="56"/>
        <v>0.010799+47.514164i</v>
      </c>
      <c r="EA223" s="14" t="str">
        <f t="shared" si="50"/>
        <v>10.798674+0.0001i</v>
      </c>
      <c r="EC223" s="1" t="str">
        <f t="shared" si="51"/>
        <v>0.010799+47.514164i</v>
      </c>
      <c r="ED223" s="1" t="str">
        <f t="shared" si="52"/>
        <v>0.111863+513.089968i</v>
      </c>
      <c r="EE223" s="1" t="str">
        <f t="shared" si="53"/>
        <v>10.809473+47.514264i</v>
      </c>
      <c r="EF223" s="1" t="str">
        <f t="shared" si="54"/>
        <v>10.267768+2.333558i</v>
      </c>
      <c r="EG223" s="1" t="str">
        <f t="shared" si="55"/>
        <v>10.267868+1.719997i</v>
      </c>
      <c r="FN223" s="1">
        <f t="shared" si="46"/>
        <v>44.6</v>
      </c>
      <c r="FO223" s="1">
        <f t="shared" si="47"/>
        <v>10.42095491317883</v>
      </c>
    </row>
    <row r="224" spans="127:171" x14ac:dyDescent="0.25">
      <c r="DW224" s="1">
        <f t="shared" si="57"/>
        <v>44.2</v>
      </c>
      <c r="DX224" s="12" t="str">
        <f t="shared" si="49"/>
        <v>0.0001-0.610785i</v>
      </c>
      <c r="DY224" s="13" t="str">
        <f t="shared" si="48"/>
        <v>0.000000001</v>
      </c>
      <c r="DZ224" s="13" t="str">
        <f t="shared" si="56"/>
        <v>0.010799+47.730137i</v>
      </c>
      <c r="EA224" s="14" t="str">
        <f t="shared" si="50"/>
        <v>10.798674+0.0001i</v>
      </c>
      <c r="EC224" s="1" t="str">
        <f t="shared" si="51"/>
        <v>0.010799+47.730137i</v>
      </c>
      <c r="ED224" s="1" t="str">
        <f t="shared" si="52"/>
        <v>0.111842+515.422191i</v>
      </c>
      <c r="EE224" s="1" t="str">
        <f t="shared" si="53"/>
        <v>10.809473+47.730237i</v>
      </c>
      <c r="EF224" s="1" t="str">
        <f t="shared" si="54"/>
        <v>10.272328+2.324032i</v>
      </c>
      <c r="EG224" s="1" t="str">
        <f t="shared" si="55"/>
        <v>10.272428+1.713247i</v>
      </c>
      <c r="FN224" s="1">
        <f t="shared" si="46"/>
        <v>44.8</v>
      </c>
      <c r="FO224" s="1">
        <f t="shared" si="47"/>
        <v>10.424210711287163</v>
      </c>
    </row>
    <row r="225" spans="127:171" x14ac:dyDescent="0.25">
      <c r="DW225" s="1">
        <f t="shared" si="57"/>
        <v>44.4</v>
      </c>
      <c r="DX225" s="12" t="str">
        <f t="shared" si="49"/>
        <v>0.0001-0.608033i</v>
      </c>
      <c r="DY225" s="13" t="str">
        <f t="shared" si="48"/>
        <v>0.000000001</v>
      </c>
      <c r="DZ225" s="13" t="str">
        <f t="shared" si="56"/>
        <v>0.010799+47.946111i</v>
      </c>
      <c r="EA225" s="14" t="str">
        <f t="shared" si="50"/>
        <v>10.798674+0.0001i</v>
      </c>
      <c r="EC225" s="1" t="str">
        <f t="shared" si="51"/>
        <v>0.010799+47.946111i</v>
      </c>
      <c r="ED225" s="1" t="str">
        <f t="shared" si="52"/>
        <v>0.11182+517.754423i</v>
      </c>
      <c r="EE225" s="1" t="str">
        <f t="shared" si="53"/>
        <v>10.809473+47.946211i</v>
      </c>
      <c r="EF225" s="1" t="str">
        <f t="shared" si="54"/>
        <v>10.27683+2.314579i</v>
      </c>
      <c r="EG225" s="1" t="str">
        <f t="shared" si="55"/>
        <v>10.27693+1.706546i</v>
      </c>
      <c r="FN225" s="1">
        <f t="shared" si="46"/>
        <v>45</v>
      </c>
      <c r="FO225" s="1">
        <f t="shared" si="47"/>
        <v>10.427425017171259</v>
      </c>
    </row>
    <row r="226" spans="127:171" x14ac:dyDescent="0.25">
      <c r="DW226" s="1">
        <f t="shared" si="57"/>
        <v>44.6</v>
      </c>
      <c r="DX226" s="12" t="str">
        <f t="shared" si="49"/>
        <v>0.0001-0.605307i</v>
      </c>
      <c r="DY226" s="13" t="str">
        <f t="shared" si="48"/>
        <v>0.000000001</v>
      </c>
      <c r="DZ226" s="13" t="str">
        <f t="shared" si="56"/>
        <v>0.010799+48.162084i</v>
      </c>
      <c r="EA226" s="14" t="str">
        <f t="shared" si="50"/>
        <v>10.798674+0.0001i</v>
      </c>
      <c r="EC226" s="1" t="str">
        <f t="shared" si="51"/>
        <v>0.010799+48.162084i</v>
      </c>
      <c r="ED226" s="1" t="str">
        <f t="shared" si="52"/>
        <v>0.111799+520.086645i</v>
      </c>
      <c r="EE226" s="1" t="str">
        <f t="shared" si="53"/>
        <v>10.809473+48.162184i</v>
      </c>
      <c r="EF226" s="1" t="str">
        <f t="shared" si="54"/>
        <v>10.281275+2.305198i</v>
      </c>
      <c r="EG226" s="1" t="str">
        <f t="shared" si="55"/>
        <v>10.281375+1.699891i</v>
      </c>
      <c r="FN226" s="1">
        <f t="shared" si="46"/>
        <v>45.2</v>
      </c>
      <c r="FO226" s="1">
        <f t="shared" si="47"/>
        <v>10.430599200678166</v>
      </c>
    </row>
    <row r="227" spans="127:171" x14ac:dyDescent="0.25">
      <c r="DW227" s="1">
        <f t="shared" si="57"/>
        <v>44.8</v>
      </c>
      <c r="DX227" s="12" t="str">
        <f t="shared" si="49"/>
        <v>0.0001-0.602605i</v>
      </c>
      <c r="DY227" s="13" t="str">
        <f t="shared" si="48"/>
        <v>0.000000001</v>
      </c>
      <c r="DZ227" s="13" t="str">
        <f t="shared" si="56"/>
        <v>0.010799+48.378058i</v>
      </c>
      <c r="EA227" s="14" t="str">
        <f t="shared" si="50"/>
        <v>10.798674+0.0001i</v>
      </c>
      <c r="EC227" s="1" t="str">
        <f t="shared" si="51"/>
        <v>0.010799+48.378058i</v>
      </c>
      <c r="ED227" s="1" t="str">
        <f t="shared" si="52"/>
        <v>0.111777+522.418878i</v>
      </c>
      <c r="EE227" s="1" t="str">
        <f t="shared" si="53"/>
        <v>10.809473+48.378158i</v>
      </c>
      <c r="EF227" s="1" t="str">
        <f t="shared" si="54"/>
        <v>10.285665+2.295888i</v>
      </c>
      <c r="EG227" s="1" t="str">
        <f t="shared" si="55"/>
        <v>10.285765+1.693283i</v>
      </c>
      <c r="FN227" s="1">
        <f t="shared" si="46"/>
        <v>45.4</v>
      </c>
      <c r="FO227" s="1">
        <f t="shared" si="47"/>
        <v>10.433732322243129</v>
      </c>
    </row>
    <row r="228" spans="127:171" x14ac:dyDescent="0.25">
      <c r="DW228" s="1">
        <f t="shared" si="57"/>
        <v>45</v>
      </c>
      <c r="DX228" s="12" t="str">
        <f t="shared" si="49"/>
        <v>0.0001-0.599926i</v>
      </c>
      <c r="DY228" s="13" t="str">
        <f t="shared" si="48"/>
        <v>0.000000001</v>
      </c>
      <c r="DZ228" s="13" t="str">
        <f t="shared" si="56"/>
        <v>0.010799+48.594031i</v>
      </c>
      <c r="EA228" s="14" t="str">
        <f t="shared" si="50"/>
        <v>10.798674+0.0001i</v>
      </c>
      <c r="EC228" s="1" t="str">
        <f t="shared" si="51"/>
        <v>0.010799+48.594031i</v>
      </c>
      <c r="ED228" s="1" t="str">
        <f t="shared" si="52"/>
        <v>0.111755+524.7511i</v>
      </c>
      <c r="EE228" s="1" t="str">
        <f t="shared" si="53"/>
        <v>10.809473+48.594131i</v>
      </c>
      <c r="EF228" s="1" t="str">
        <f t="shared" si="54"/>
        <v>10.29+2.286649i</v>
      </c>
      <c r="EG228" s="1" t="str">
        <f t="shared" si="55"/>
        <v>10.2901+1.686723i</v>
      </c>
      <c r="FN228" s="1">
        <f t="shared" si="46"/>
        <v>45.6</v>
      </c>
      <c r="FO228" s="1">
        <f t="shared" si="47"/>
        <v>10.4368270694016</v>
      </c>
    </row>
    <row r="229" spans="127:171" x14ac:dyDescent="0.25">
      <c r="DW229" s="1">
        <f t="shared" si="57"/>
        <v>45.2</v>
      </c>
      <c r="DX229" s="12" t="str">
        <f t="shared" si="49"/>
        <v>0.0001-0.597272i</v>
      </c>
      <c r="DY229" s="13" t="str">
        <f t="shared" si="48"/>
        <v>0.000000001</v>
      </c>
      <c r="DZ229" s="13" t="str">
        <f t="shared" si="56"/>
        <v>0.010799+48.810005i</v>
      </c>
      <c r="EA229" s="14" t="str">
        <f t="shared" si="50"/>
        <v>10.798674+0.0001i</v>
      </c>
      <c r="EC229" s="1" t="str">
        <f t="shared" si="51"/>
        <v>0.010799+48.810005i</v>
      </c>
      <c r="ED229" s="1" t="str">
        <f t="shared" si="52"/>
        <v>0.111734+527.083333i</v>
      </c>
      <c r="EE229" s="1" t="str">
        <f t="shared" si="53"/>
        <v>10.809473+48.810105i</v>
      </c>
      <c r="EF229" s="1" t="str">
        <f t="shared" si="54"/>
        <v>10.294282+2.27748i</v>
      </c>
      <c r="EG229" s="1" t="str">
        <f t="shared" si="55"/>
        <v>10.294382+1.680208i</v>
      </c>
      <c r="FN229" s="1">
        <f t="shared" si="46"/>
        <v>45.8</v>
      </c>
      <c r="FO229" s="1">
        <f t="shared" si="47"/>
        <v>10.439882503826995</v>
      </c>
    </row>
    <row r="230" spans="127:171" x14ac:dyDescent="0.25">
      <c r="DW230" s="1">
        <f t="shared" si="57"/>
        <v>45.4</v>
      </c>
      <c r="DX230" s="12" t="str">
        <f t="shared" si="49"/>
        <v>0.0001-0.594641i</v>
      </c>
      <c r="DY230" s="13" t="str">
        <f t="shared" si="48"/>
        <v>0.000000001</v>
      </c>
      <c r="DZ230" s="13" t="str">
        <f t="shared" si="56"/>
        <v>0.010799+49.025978i</v>
      </c>
      <c r="EA230" s="14" t="str">
        <f t="shared" si="50"/>
        <v>10.798674+0.0001i</v>
      </c>
      <c r="EC230" s="1" t="str">
        <f t="shared" si="51"/>
        <v>0.010799+49.025978i</v>
      </c>
      <c r="ED230" s="1" t="str">
        <f t="shared" si="52"/>
        <v>0.111712+529.415555i</v>
      </c>
      <c r="EE230" s="1" t="str">
        <f t="shared" si="53"/>
        <v>10.809473+49.026078i</v>
      </c>
      <c r="EF230" s="1" t="str">
        <f t="shared" si="54"/>
        <v>10.29851+2.26838i</v>
      </c>
      <c r="EG230" s="1" t="str">
        <f t="shared" si="55"/>
        <v>10.29861+1.673739i</v>
      </c>
      <c r="FN230" s="1">
        <f t="shared" si="46"/>
        <v>46</v>
      </c>
      <c r="FO230" s="1">
        <f t="shared" si="47"/>
        <v>10.442899184604101</v>
      </c>
    </row>
    <row r="231" spans="127:171" x14ac:dyDescent="0.25">
      <c r="DW231" s="1">
        <f t="shared" si="57"/>
        <v>45.6</v>
      </c>
      <c r="DX231" s="12" t="str">
        <f t="shared" si="49"/>
        <v>0.0001-0.592033i</v>
      </c>
      <c r="DY231" s="13" t="str">
        <f t="shared" si="48"/>
        <v>0.000000001</v>
      </c>
      <c r="DZ231" s="13" t="str">
        <f t="shared" si="56"/>
        <v>0.010799+49.241952i</v>
      </c>
      <c r="EA231" s="14" t="str">
        <f t="shared" si="50"/>
        <v>10.798674+0.0001i</v>
      </c>
      <c r="EC231" s="1" t="str">
        <f t="shared" si="51"/>
        <v>0.010799+49.241952i</v>
      </c>
      <c r="ED231" s="1" t="str">
        <f t="shared" si="52"/>
        <v>0.111691+531.747788i</v>
      </c>
      <c r="EE231" s="1" t="str">
        <f t="shared" si="53"/>
        <v>10.809473+49.242052i</v>
      </c>
      <c r="EF231" s="1" t="str">
        <f t="shared" si="54"/>
        <v>10.302687+2.259348i</v>
      </c>
      <c r="EG231" s="1" t="str">
        <f t="shared" si="55"/>
        <v>10.302787+1.667315i</v>
      </c>
      <c r="FN231" s="1">
        <f t="shared" si="46"/>
        <v>46.2</v>
      </c>
      <c r="FO231" s="1">
        <f t="shared" si="47"/>
        <v>10.445878822744643</v>
      </c>
    </row>
    <row r="232" spans="127:171" x14ac:dyDescent="0.25">
      <c r="DW232" s="1">
        <f t="shared" si="57"/>
        <v>45.8</v>
      </c>
      <c r="DX232" s="12" t="str">
        <f t="shared" si="49"/>
        <v>0.0001-0.589447i</v>
      </c>
      <c r="DY232" s="13" t="str">
        <f t="shared" si="48"/>
        <v>0.000000001</v>
      </c>
      <c r="DZ232" s="13" t="str">
        <f t="shared" si="56"/>
        <v>0.010799+49.457925i</v>
      </c>
      <c r="EA232" s="14" t="str">
        <f t="shared" si="50"/>
        <v>10.798674+0.0001i</v>
      </c>
      <c r="EC232" s="1" t="str">
        <f t="shared" si="51"/>
        <v>0.010799+49.457925i</v>
      </c>
      <c r="ED232" s="1" t="str">
        <f t="shared" si="52"/>
        <v>0.111669+534.08001i</v>
      </c>
      <c r="EE232" s="1" t="str">
        <f t="shared" si="53"/>
        <v>10.809473+49.458025i</v>
      </c>
      <c r="EF232" s="1" t="str">
        <f t="shared" si="54"/>
        <v>10.306812+2.250384i</v>
      </c>
      <c r="EG232" s="1" t="str">
        <f t="shared" si="55"/>
        <v>10.306912+1.660937i</v>
      </c>
      <c r="FN232" s="1">
        <f t="shared" si="46"/>
        <v>46.4</v>
      </c>
      <c r="FO232" s="1">
        <f t="shared" si="47"/>
        <v>10.448821472797494</v>
      </c>
    </row>
    <row r="233" spans="127:171" x14ac:dyDescent="0.25">
      <c r="DW233" s="1">
        <f t="shared" si="57"/>
        <v>46</v>
      </c>
      <c r="DX233" s="12" t="str">
        <f t="shared" si="49"/>
        <v>0.0001-0.586884i</v>
      </c>
      <c r="DY233" s="13" t="str">
        <f t="shared" si="48"/>
        <v>0.000000001</v>
      </c>
      <c r="DZ233" s="13" t="str">
        <f t="shared" si="56"/>
        <v>0.010799+49.673899i</v>
      </c>
      <c r="EA233" s="14" t="str">
        <f t="shared" si="50"/>
        <v>10.798674+0.0001i</v>
      </c>
      <c r="EC233" s="1" t="str">
        <f t="shared" si="51"/>
        <v>0.010799+49.673899i</v>
      </c>
      <c r="ED233" s="1" t="str">
        <f t="shared" si="52"/>
        <v>0.111647+536.412243i</v>
      </c>
      <c r="EE233" s="1" t="str">
        <f t="shared" si="53"/>
        <v>10.809473+49.673999i</v>
      </c>
      <c r="EF233" s="1" t="str">
        <f t="shared" si="54"/>
        <v>10.310886+2.241487i</v>
      </c>
      <c r="EG233" s="1" t="str">
        <f t="shared" si="55"/>
        <v>10.310986+1.654603i</v>
      </c>
      <c r="FN233" s="1">
        <f t="shared" si="46"/>
        <v>46.6</v>
      </c>
      <c r="FO233" s="1">
        <f t="shared" si="47"/>
        <v>10.451728018862191</v>
      </c>
    </row>
    <row r="234" spans="127:171" x14ac:dyDescent="0.25">
      <c r="DW234" s="1">
        <f t="shared" si="57"/>
        <v>46.2</v>
      </c>
      <c r="DX234" s="12" t="str">
        <f t="shared" si="49"/>
        <v>0.0001-0.584344i</v>
      </c>
      <c r="DY234" s="13" t="str">
        <f t="shared" si="48"/>
        <v>0.000000001</v>
      </c>
      <c r="DZ234" s="13" t="str">
        <f t="shared" si="56"/>
        <v>0.010799+49.889872i</v>
      </c>
      <c r="EA234" s="14" t="str">
        <f t="shared" si="50"/>
        <v>10.798674+0.0001i</v>
      </c>
      <c r="EC234" s="1" t="str">
        <f t="shared" si="51"/>
        <v>0.010799+49.889872i</v>
      </c>
      <c r="ED234" s="1" t="str">
        <f t="shared" si="52"/>
        <v>0.111626+538.744465i</v>
      </c>
      <c r="EE234" s="1" t="str">
        <f t="shared" si="53"/>
        <v>10.809473+49.889972i</v>
      </c>
      <c r="EF234" s="1" t="str">
        <f t="shared" si="54"/>
        <v>10.314911+2.232656i</v>
      </c>
      <c r="EG234" s="1" t="str">
        <f t="shared" si="55"/>
        <v>10.315011+1.648312i</v>
      </c>
      <c r="FN234" s="1">
        <f t="shared" si="46"/>
        <v>46.8</v>
      </c>
      <c r="FO234" s="1">
        <f t="shared" si="47"/>
        <v>10.45459919051993</v>
      </c>
    </row>
    <row r="235" spans="127:171" x14ac:dyDescent="0.25">
      <c r="DW235" s="1">
        <f t="shared" si="57"/>
        <v>46.4</v>
      </c>
      <c r="DX235" s="12" t="str">
        <f t="shared" si="49"/>
        <v>0.0001-0.581825i</v>
      </c>
      <c r="DY235" s="13" t="str">
        <f t="shared" si="48"/>
        <v>0.000000001</v>
      </c>
      <c r="DZ235" s="13" t="str">
        <f t="shared" si="56"/>
        <v>0.010799+50.105846i</v>
      </c>
      <c r="EA235" s="14" t="str">
        <f t="shared" si="50"/>
        <v>10.798674+0.0001i</v>
      </c>
      <c r="EC235" s="1" t="str">
        <f t="shared" si="51"/>
        <v>0.010799+50.105846i</v>
      </c>
      <c r="ED235" s="1" t="str">
        <f t="shared" si="52"/>
        <v>0.111604+541.076698i</v>
      </c>
      <c r="EE235" s="1" t="str">
        <f t="shared" si="53"/>
        <v>10.809473+50.105946i</v>
      </c>
      <c r="EF235" s="1" t="str">
        <f t="shared" si="54"/>
        <v>10.318887+2.22389i</v>
      </c>
      <c r="EG235" s="1" t="str">
        <f t="shared" si="55"/>
        <v>10.318987+1.642065i</v>
      </c>
      <c r="FN235" s="1">
        <f t="shared" si="46"/>
        <v>47</v>
      </c>
      <c r="FO235" s="1">
        <f t="shared" si="47"/>
        <v>10.457434578078363</v>
      </c>
    </row>
    <row r="236" spans="127:171" x14ac:dyDescent="0.25">
      <c r="DW236" s="1">
        <f t="shared" si="57"/>
        <v>46.6</v>
      </c>
      <c r="DX236" s="12" t="str">
        <f t="shared" si="49"/>
        <v>0.0001-0.579328i</v>
      </c>
      <c r="DY236" s="13" t="str">
        <f t="shared" si="48"/>
        <v>0.000000001</v>
      </c>
      <c r="DZ236" s="13" t="str">
        <f t="shared" si="56"/>
        <v>0.010799+50.321819i</v>
      </c>
      <c r="EA236" s="14" t="str">
        <f t="shared" si="50"/>
        <v>10.798674+0.0001i</v>
      </c>
      <c r="EC236" s="1" t="str">
        <f t="shared" si="51"/>
        <v>0.010799+50.321819i</v>
      </c>
      <c r="ED236" s="1" t="str">
        <f t="shared" si="52"/>
        <v>0.111583+543.40892i</v>
      </c>
      <c r="EE236" s="1" t="str">
        <f t="shared" si="53"/>
        <v>10.809473+50.321919i</v>
      </c>
      <c r="EF236" s="1" t="str">
        <f t="shared" si="54"/>
        <v>10.322815+2.21519i</v>
      </c>
      <c r="EG236" s="1" t="str">
        <f t="shared" si="55"/>
        <v>10.322915+1.635862i</v>
      </c>
      <c r="FN236" s="1">
        <f t="shared" si="46"/>
        <v>47.2</v>
      </c>
      <c r="FO236" s="1">
        <f t="shared" si="47"/>
        <v>10.46023652684895</v>
      </c>
    </row>
    <row r="237" spans="127:171" x14ac:dyDescent="0.25">
      <c r="DW237" s="1">
        <f t="shared" si="57"/>
        <v>46.8</v>
      </c>
      <c r="DX237" s="12" t="str">
        <f t="shared" si="49"/>
        <v>0.0001-0.576852i</v>
      </c>
      <c r="DY237" s="13" t="str">
        <f t="shared" si="48"/>
        <v>0.000000001</v>
      </c>
      <c r="DZ237" s="13" t="str">
        <f t="shared" si="56"/>
        <v>0.010799+50.537793i</v>
      </c>
      <c r="EA237" s="14" t="str">
        <f t="shared" si="50"/>
        <v>10.798674+0.0001i</v>
      </c>
      <c r="EC237" s="1" t="str">
        <f t="shared" si="51"/>
        <v>0.010799+50.537793i</v>
      </c>
      <c r="ED237" s="1" t="str">
        <f t="shared" si="52"/>
        <v>0.111561+545.741152i</v>
      </c>
      <c r="EE237" s="1" t="str">
        <f t="shared" si="53"/>
        <v>10.809473+50.537893i</v>
      </c>
      <c r="EF237" s="1" t="str">
        <f t="shared" si="54"/>
        <v>10.326696+2.206554i</v>
      </c>
      <c r="EG237" s="1" t="str">
        <f t="shared" si="55"/>
        <v>10.326796+1.629702i</v>
      </c>
      <c r="FN237" s="1">
        <f t="shared" ref="FN237:FN250" si="58">DW240</f>
        <v>47.4</v>
      </c>
      <c r="FO237" s="1">
        <f t="shared" ref="FO237:FO250" si="59">IMABS(EG240)</f>
        <v>10.463003488048736</v>
      </c>
    </row>
    <row r="238" spans="127:171" x14ac:dyDescent="0.25">
      <c r="DW238" s="1">
        <f t="shared" si="57"/>
        <v>47</v>
      </c>
      <c r="DX238" s="12" t="str">
        <f t="shared" si="49"/>
        <v>0.0001-0.574398i</v>
      </c>
      <c r="DY238" s="13" t="str">
        <f t="shared" si="48"/>
        <v>0.000000001</v>
      </c>
      <c r="DZ238" s="13" t="str">
        <f t="shared" si="56"/>
        <v>0.010799+50.753766i</v>
      </c>
      <c r="EA238" s="14" t="str">
        <f t="shared" si="50"/>
        <v>10.798674+0.0001i</v>
      </c>
      <c r="EC238" s="1" t="str">
        <f t="shared" si="51"/>
        <v>0.010799+50.753766i</v>
      </c>
      <c r="ED238" s="1" t="str">
        <f t="shared" si="52"/>
        <v>0.11154+548.073374i</v>
      </c>
      <c r="EE238" s="1" t="str">
        <f t="shared" si="53"/>
        <v>10.809473+50.753866i</v>
      </c>
      <c r="EF238" s="1" t="str">
        <f t="shared" si="54"/>
        <v>10.33053+2.197981i</v>
      </c>
      <c r="EG238" s="1" t="str">
        <f t="shared" si="55"/>
        <v>10.33063+1.623583i</v>
      </c>
      <c r="FN238" s="1">
        <f t="shared" si="58"/>
        <v>47.6</v>
      </c>
      <c r="FO238" s="1">
        <f t="shared" si="59"/>
        <v>10.465737498888696</v>
      </c>
    </row>
    <row r="239" spans="127:171" x14ac:dyDescent="0.25">
      <c r="DW239" s="1">
        <f t="shared" si="57"/>
        <v>47.2</v>
      </c>
      <c r="DX239" s="12" t="str">
        <f t="shared" si="49"/>
        <v>0.0001-0.571964i</v>
      </c>
      <c r="DY239" s="13" t="str">
        <f t="shared" si="48"/>
        <v>0.000000001</v>
      </c>
      <c r="DZ239" s="13" t="str">
        <f t="shared" si="56"/>
        <v>0.010799+50.969739i</v>
      </c>
      <c r="EA239" s="14" t="str">
        <f t="shared" si="50"/>
        <v>10.798674+0.0001i</v>
      </c>
      <c r="EC239" s="1" t="str">
        <f t="shared" si="51"/>
        <v>0.010799+50.969739i</v>
      </c>
      <c r="ED239" s="1" t="str">
        <f t="shared" si="52"/>
        <v>0.111518+550.405596i</v>
      </c>
      <c r="EE239" s="1" t="str">
        <f t="shared" si="53"/>
        <v>10.809473+50.969839i</v>
      </c>
      <c r="EF239" s="1" t="str">
        <f t="shared" si="54"/>
        <v>10.334319+2.189472i</v>
      </c>
      <c r="EG239" s="1" t="str">
        <f t="shared" si="55"/>
        <v>10.334419+1.617508i</v>
      </c>
      <c r="FN239" s="1">
        <f t="shared" si="58"/>
        <v>47.8</v>
      </c>
      <c r="FO239" s="1">
        <f t="shared" si="59"/>
        <v>10.468438160831633</v>
      </c>
    </row>
    <row r="240" spans="127:171" x14ac:dyDescent="0.25">
      <c r="DW240" s="1">
        <f t="shared" si="57"/>
        <v>47.4</v>
      </c>
      <c r="DX240" s="12" t="str">
        <f t="shared" si="49"/>
        <v>0.0001-0.56955i</v>
      </c>
      <c r="DY240" s="13" t="str">
        <f t="shared" ref="DY240:DY253" si="60">COMPLEX(0.000000001,-1*$CL$25/DW240)</f>
        <v>0.000000001</v>
      </c>
      <c r="DZ240" s="13" t="str">
        <f t="shared" si="56"/>
        <v>0.010799+51.185713i</v>
      </c>
      <c r="EA240" s="14" t="str">
        <f t="shared" si="50"/>
        <v>10.798674+0.0001i</v>
      </c>
      <c r="EC240" s="1" t="str">
        <f t="shared" si="51"/>
        <v>0.010799+51.185713i</v>
      </c>
      <c r="ED240" s="1" t="str">
        <f t="shared" si="52"/>
        <v>0.111496+552.737829i</v>
      </c>
      <c r="EE240" s="1" t="str">
        <f t="shared" si="53"/>
        <v>10.809473+51.185813i</v>
      </c>
      <c r="EF240" s="1" t="str">
        <f t="shared" si="54"/>
        <v>10.338062+2.181024i</v>
      </c>
      <c r="EG240" s="1" t="str">
        <f t="shared" si="55"/>
        <v>10.338162+1.611474i</v>
      </c>
      <c r="FN240" s="1">
        <f t="shared" si="58"/>
        <v>48</v>
      </c>
      <c r="FO240" s="1">
        <f t="shared" si="59"/>
        <v>10.471106525938174</v>
      </c>
    </row>
    <row r="241" spans="127:171" x14ac:dyDescent="0.25">
      <c r="DW241" s="1">
        <f t="shared" si="57"/>
        <v>47.6</v>
      </c>
      <c r="DX241" s="12" t="str">
        <f t="shared" si="49"/>
        <v>0.0001-0.567157i</v>
      </c>
      <c r="DY241" s="13" t="str">
        <f t="shared" si="60"/>
        <v>0.000000001</v>
      </c>
      <c r="DZ241" s="13" t="str">
        <f t="shared" si="56"/>
        <v>0.010799+51.401686i</v>
      </c>
      <c r="EA241" s="14" t="str">
        <f t="shared" si="50"/>
        <v>10.798674+0.0001i</v>
      </c>
      <c r="EC241" s="1" t="str">
        <f t="shared" si="51"/>
        <v>0.010799+51.401686i</v>
      </c>
      <c r="ED241" s="1" t="str">
        <f t="shared" si="52"/>
        <v>0.111475+555.070051i</v>
      </c>
      <c r="EE241" s="1" t="str">
        <f t="shared" si="53"/>
        <v>10.809473+51.401786i</v>
      </c>
      <c r="EF241" s="1" t="str">
        <f t="shared" si="54"/>
        <v>10.341761+2.172639i</v>
      </c>
      <c r="EG241" s="1" t="str">
        <f t="shared" si="55"/>
        <v>10.341861+1.605482i</v>
      </c>
      <c r="FN241" s="1">
        <f t="shared" si="58"/>
        <v>48.2</v>
      </c>
      <c r="FO241" s="1">
        <f t="shared" si="59"/>
        <v>10.473742353395608</v>
      </c>
    </row>
    <row r="242" spans="127:171" x14ac:dyDescent="0.25">
      <c r="DW242" s="1">
        <f t="shared" si="57"/>
        <v>47.8</v>
      </c>
      <c r="DX242" s="12" t="str">
        <f t="shared" si="49"/>
        <v>0.0001-0.564784i</v>
      </c>
      <c r="DY242" s="13" t="str">
        <f t="shared" si="60"/>
        <v>0.000000001</v>
      </c>
      <c r="DZ242" s="13" t="str">
        <f t="shared" si="56"/>
        <v>0.010799+51.61766i</v>
      </c>
      <c r="EA242" s="14" t="str">
        <f t="shared" si="50"/>
        <v>10.798674+0.0001i</v>
      </c>
      <c r="EC242" s="1" t="str">
        <f t="shared" si="51"/>
        <v>0.010799+51.61766i</v>
      </c>
      <c r="ED242" s="1" t="str">
        <f t="shared" si="52"/>
        <v>0.111453+557.402284i</v>
      </c>
      <c r="EE242" s="1" t="str">
        <f t="shared" si="53"/>
        <v>10.809473+51.61776i</v>
      </c>
      <c r="EF242" s="1" t="str">
        <f t="shared" si="54"/>
        <v>10.345416+2.164314i</v>
      </c>
      <c r="EG242" s="1" t="str">
        <f t="shared" si="55"/>
        <v>10.345516+1.59953i</v>
      </c>
      <c r="FN242" s="1">
        <f t="shared" si="58"/>
        <v>48.4</v>
      </c>
      <c r="FO242" s="1">
        <f t="shared" si="59"/>
        <v>10.476347533635661</v>
      </c>
    </row>
    <row r="243" spans="127:171" x14ac:dyDescent="0.25">
      <c r="DW243" s="1">
        <f t="shared" si="57"/>
        <v>48</v>
      </c>
      <c r="DX243" s="12" t="str">
        <f t="shared" si="49"/>
        <v>0.0001-0.562431i</v>
      </c>
      <c r="DY243" s="13" t="str">
        <f t="shared" si="60"/>
        <v>0.000000001</v>
      </c>
      <c r="DZ243" s="13" t="str">
        <f t="shared" si="56"/>
        <v>0.010799+51.833633i</v>
      </c>
      <c r="EA243" s="14" t="str">
        <f t="shared" si="50"/>
        <v>10.798674+0.0001i</v>
      </c>
      <c r="EC243" s="1" t="str">
        <f t="shared" si="51"/>
        <v>0.010799+51.833633i</v>
      </c>
      <c r="ED243" s="1" t="str">
        <f t="shared" si="52"/>
        <v>0.111432+559.734506i</v>
      </c>
      <c r="EE243" s="1" t="str">
        <f t="shared" si="53"/>
        <v>10.809473+51.833733i</v>
      </c>
      <c r="EF243" s="1" t="str">
        <f t="shared" si="54"/>
        <v>10.349028+2.15605i</v>
      </c>
      <c r="EG243" s="1" t="str">
        <f t="shared" si="55"/>
        <v>10.349128+1.593619i</v>
      </c>
      <c r="FN243" s="1">
        <f t="shared" si="58"/>
        <v>48.6</v>
      </c>
      <c r="FO243" s="1">
        <f t="shared" si="59"/>
        <v>10.478921981330906</v>
      </c>
    </row>
    <row r="244" spans="127:171" x14ac:dyDescent="0.25">
      <c r="DW244" s="1">
        <f t="shared" si="57"/>
        <v>48.2</v>
      </c>
      <c r="DX244" s="12" t="str">
        <f t="shared" si="49"/>
        <v>0.0001-0.560097i</v>
      </c>
      <c r="DY244" s="13" t="str">
        <f t="shared" si="60"/>
        <v>0.000000001</v>
      </c>
      <c r="DZ244" s="13" t="str">
        <f t="shared" si="56"/>
        <v>0.010799+52.049607i</v>
      </c>
      <c r="EA244" s="14" t="str">
        <f t="shared" si="50"/>
        <v>10.798674+0.0001i</v>
      </c>
      <c r="EC244" s="1" t="str">
        <f t="shared" si="51"/>
        <v>0.010799+52.049607i</v>
      </c>
      <c r="ED244" s="1" t="str">
        <f t="shared" si="52"/>
        <v>0.11141+562.066739i</v>
      </c>
      <c r="EE244" s="1" t="str">
        <f t="shared" si="53"/>
        <v>10.809473+52.049707i</v>
      </c>
      <c r="EF244" s="1" t="str">
        <f t="shared" si="54"/>
        <v>10.352597+2.147845i</v>
      </c>
      <c r="EG244" s="1" t="str">
        <f t="shared" si="55"/>
        <v>10.352697+1.587748i</v>
      </c>
      <c r="FN244" s="1">
        <f t="shared" si="58"/>
        <v>48.8</v>
      </c>
      <c r="FO244" s="1">
        <f t="shared" si="59"/>
        <v>10.481465312259207</v>
      </c>
    </row>
    <row r="245" spans="127:171" x14ac:dyDescent="0.25">
      <c r="DW245" s="1">
        <f t="shared" si="57"/>
        <v>48.4</v>
      </c>
      <c r="DX245" s="12" t="str">
        <f t="shared" si="49"/>
        <v>0.0001-0.557783i</v>
      </c>
      <c r="DY245" s="13" t="str">
        <f t="shared" si="60"/>
        <v>0.000000001</v>
      </c>
      <c r="DZ245" s="13" t="str">
        <f t="shared" si="56"/>
        <v>0.010799+52.26558i</v>
      </c>
      <c r="EA245" s="14" t="str">
        <f t="shared" si="50"/>
        <v>10.798674+0.0001i</v>
      </c>
      <c r="EC245" s="1" t="str">
        <f t="shared" si="51"/>
        <v>0.010799+52.26558i</v>
      </c>
      <c r="ED245" s="1" t="str">
        <f t="shared" si="52"/>
        <v>0.111388+564.398961i</v>
      </c>
      <c r="EE245" s="1" t="str">
        <f t="shared" si="53"/>
        <v>10.809473+52.26568i</v>
      </c>
      <c r="EF245" s="1" t="str">
        <f t="shared" si="54"/>
        <v>10.356125+2.1397i</v>
      </c>
      <c r="EG245" s="1" t="str">
        <f t="shared" si="55"/>
        <v>10.356225+1.581917i</v>
      </c>
      <c r="FN245" s="1">
        <f t="shared" si="58"/>
        <v>49</v>
      </c>
      <c r="FO245" s="1">
        <f t="shared" si="59"/>
        <v>10.483979722167771</v>
      </c>
    </row>
    <row r="246" spans="127:171" x14ac:dyDescent="0.25">
      <c r="DW246" s="1">
        <f t="shared" si="57"/>
        <v>48.6</v>
      </c>
      <c r="DX246" s="12" t="str">
        <f t="shared" si="49"/>
        <v>0.0001-0.555487i</v>
      </c>
      <c r="DY246" s="13" t="str">
        <f t="shared" si="60"/>
        <v>0.000000001</v>
      </c>
      <c r="DZ246" s="13" t="str">
        <f t="shared" si="56"/>
        <v>0.010799+52.481554i</v>
      </c>
      <c r="EA246" s="14" t="str">
        <f t="shared" si="50"/>
        <v>10.798674+0.0001i</v>
      </c>
      <c r="EC246" s="1" t="str">
        <f t="shared" si="51"/>
        <v>0.010799+52.481554i</v>
      </c>
      <c r="ED246" s="1" t="str">
        <f t="shared" si="52"/>
        <v>0.111367+566.731194i</v>
      </c>
      <c r="EE246" s="1" t="str">
        <f t="shared" si="53"/>
        <v>10.809473+52.481654i</v>
      </c>
      <c r="EF246" s="1" t="str">
        <f t="shared" si="54"/>
        <v>10.359612+2.131613i</v>
      </c>
      <c r="EG246" s="1" t="str">
        <f t="shared" si="55"/>
        <v>10.359712+1.576126i</v>
      </c>
      <c r="FN246" s="1">
        <f t="shared" si="58"/>
        <v>49.2</v>
      </c>
      <c r="FO246" s="1">
        <f t="shared" si="59"/>
        <v>10.486463842251544</v>
      </c>
    </row>
    <row r="247" spans="127:171" x14ac:dyDescent="0.25">
      <c r="DW247" s="1">
        <f t="shared" si="57"/>
        <v>48.8</v>
      </c>
      <c r="DX247" s="12" t="str">
        <f t="shared" si="49"/>
        <v>0.0001-0.553211i</v>
      </c>
      <c r="DY247" s="13" t="str">
        <f t="shared" si="60"/>
        <v>0.000000001</v>
      </c>
      <c r="DZ247" s="13" t="str">
        <f t="shared" si="56"/>
        <v>0.010799+52.697527i</v>
      </c>
      <c r="EA247" s="14" t="str">
        <f t="shared" si="50"/>
        <v>10.798674+0.0001i</v>
      </c>
      <c r="EC247" s="1" t="str">
        <f t="shared" si="51"/>
        <v>0.010799+52.697527i</v>
      </c>
      <c r="ED247" s="1" t="str">
        <f t="shared" si="52"/>
        <v>0.111345+569.063416i</v>
      </c>
      <c r="EE247" s="1" t="str">
        <f t="shared" si="53"/>
        <v>10.809473+52.697627i</v>
      </c>
      <c r="EF247" s="1" t="str">
        <f t="shared" si="54"/>
        <v>10.363058+2.123584i</v>
      </c>
      <c r="EG247" s="1" t="str">
        <f t="shared" si="55"/>
        <v>10.363158+1.570373i</v>
      </c>
      <c r="FN247" s="1">
        <f t="shared" si="58"/>
        <v>49.4</v>
      </c>
      <c r="FO247" s="1">
        <f t="shared" si="59"/>
        <v>10.488919571777876</v>
      </c>
    </row>
    <row r="248" spans="127:171" x14ac:dyDescent="0.25">
      <c r="DW248" s="1">
        <f t="shared" si="57"/>
        <v>49</v>
      </c>
      <c r="DX248" s="12" t="str">
        <f t="shared" si="49"/>
        <v>0.0001-0.550953i</v>
      </c>
      <c r="DY248" s="13" t="str">
        <f t="shared" si="60"/>
        <v>0.000000001</v>
      </c>
      <c r="DZ248" s="13" t="str">
        <f t="shared" si="56"/>
        <v>0.010799+52.913501i</v>
      </c>
      <c r="EA248" s="14" t="str">
        <f t="shared" si="50"/>
        <v>10.798674+0.0001i</v>
      </c>
      <c r="EC248" s="1" t="str">
        <f t="shared" si="51"/>
        <v>0.010799+52.913501i</v>
      </c>
      <c r="ED248" s="1" t="str">
        <f t="shared" si="52"/>
        <v>0.111324+571.395649i</v>
      </c>
      <c r="EE248" s="1" t="str">
        <f t="shared" si="53"/>
        <v>10.809473+52.913601i</v>
      </c>
      <c r="EF248" s="1" t="str">
        <f t="shared" si="54"/>
        <v>10.366465+2.115613i</v>
      </c>
      <c r="EG248" s="1" t="str">
        <f t="shared" si="55"/>
        <v>10.366565+1.56466i</v>
      </c>
      <c r="FN248" s="1">
        <f t="shared" si="58"/>
        <v>49.6</v>
      </c>
      <c r="FO248" s="1">
        <f t="shared" si="59"/>
        <v>10.491345844199493</v>
      </c>
    </row>
    <row r="249" spans="127:171" x14ac:dyDescent="0.25">
      <c r="DW249" s="1">
        <f t="shared" si="57"/>
        <v>49.2</v>
      </c>
      <c r="DX249" s="12" t="str">
        <f t="shared" si="49"/>
        <v>0.0001-0.548713i</v>
      </c>
      <c r="DY249" s="13" t="str">
        <f t="shared" si="60"/>
        <v>0.000000001</v>
      </c>
      <c r="DZ249" s="13" t="str">
        <f t="shared" si="56"/>
        <v>0.010799+53.129474i</v>
      </c>
      <c r="EA249" s="14" t="str">
        <f t="shared" si="50"/>
        <v>10.798674+0.0001i</v>
      </c>
      <c r="EC249" s="1" t="str">
        <f t="shared" si="51"/>
        <v>0.010799+53.129474i</v>
      </c>
      <c r="ED249" s="1" t="str">
        <f t="shared" si="52"/>
        <v>0.111302+573.727871i</v>
      </c>
      <c r="EE249" s="1" t="str">
        <f t="shared" si="53"/>
        <v>10.809473+53.129574i</v>
      </c>
      <c r="EF249" s="1" t="str">
        <f t="shared" si="54"/>
        <v>10.369832+2.107698i</v>
      </c>
      <c r="EG249" s="1" t="str">
        <f t="shared" si="55"/>
        <v>10.369932+1.558985i</v>
      </c>
      <c r="FN249" s="1">
        <f t="shared" si="58"/>
        <v>49.8</v>
      </c>
      <c r="FO249" s="1">
        <f t="shared" si="59"/>
        <v>10.493744560725691</v>
      </c>
    </row>
    <row r="250" spans="127:171" x14ac:dyDescent="0.25">
      <c r="DW250" s="1">
        <f t="shared" si="57"/>
        <v>49.4</v>
      </c>
      <c r="DX250" s="12" t="str">
        <f t="shared" si="49"/>
        <v>0.0001-0.546492i</v>
      </c>
      <c r="DY250" s="13" t="str">
        <f t="shared" si="60"/>
        <v>0.000000001</v>
      </c>
      <c r="DZ250" s="13" t="str">
        <f t="shared" si="56"/>
        <v>0.010799+53.345448i</v>
      </c>
      <c r="EA250" s="14" t="str">
        <f t="shared" si="50"/>
        <v>10.798674+0.0001i</v>
      </c>
      <c r="EC250" s="1" t="str">
        <f t="shared" si="51"/>
        <v>0.010799+53.345448i</v>
      </c>
      <c r="ED250" s="1" t="str">
        <f t="shared" si="52"/>
        <v>0.11128+576.060103i</v>
      </c>
      <c r="EE250" s="1" t="str">
        <f t="shared" si="53"/>
        <v>10.809473+53.345548i</v>
      </c>
      <c r="EF250" s="1" t="str">
        <f t="shared" si="54"/>
        <v>10.373161+2.09984i</v>
      </c>
      <c r="EG250" s="1" t="str">
        <f t="shared" si="55"/>
        <v>10.373261+1.553348i</v>
      </c>
      <c r="FN250" s="1">
        <f t="shared" si="58"/>
        <v>50</v>
      </c>
      <c r="FO250" s="1">
        <f t="shared" si="59"/>
        <v>10.496115352642091</v>
      </c>
    </row>
    <row r="251" spans="127:171" x14ac:dyDescent="0.25">
      <c r="DW251" s="1">
        <f t="shared" si="57"/>
        <v>49.6</v>
      </c>
      <c r="DX251" s="12" t="str">
        <f t="shared" si="49"/>
        <v>0.0001-0.544288i</v>
      </c>
      <c r="DY251" s="13" t="str">
        <f t="shared" si="60"/>
        <v>0.000000001</v>
      </c>
      <c r="DZ251" s="13" t="str">
        <f t="shared" si="56"/>
        <v>0.010799+53.561421i</v>
      </c>
      <c r="EA251" s="14" t="str">
        <f t="shared" si="50"/>
        <v>10.798674+0.0001i</v>
      </c>
      <c r="EC251" s="1" t="str">
        <f t="shared" si="51"/>
        <v>0.010799+53.561421i</v>
      </c>
      <c r="ED251" s="1" t="str">
        <f t="shared" si="52"/>
        <v>0.111259+578.392325i</v>
      </c>
      <c r="EE251" s="1" t="str">
        <f t="shared" si="53"/>
        <v>10.809473+53.561521i</v>
      </c>
      <c r="EF251" s="1" t="str">
        <f t="shared" si="54"/>
        <v>10.376451+2.092037i</v>
      </c>
      <c r="EG251" s="1" t="str">
        <f t="shared" si="55"/>
        <v>10.376551+1.547749i</v>
      </c>
    </row>
    <row r="252" spans="127:171" x14ac:dyDescent="0.25">
      <c r="DW252" s="1">
        <f t="shared" si="57"/>
        <v>49.8</v>
      </c>
      <c r="DX252" s="12" t="str">
        <f t="shared" si="49"/>
        <v>0.0001-0.542102i</v>
      </c>
      <c r="DY252" s="13" t="str">
        <f t="shared" si="60"/>
        <v>0.000000001</v>
      </c>
      <c r="DZ252" s="13" t="str">
        <f t="shared" si="56"/>
        <v>0.010799+53.777395i</v>
      </c>
      <c r="EA252" s="14" t="str">
        <f t="shared" si="50"/>
        <v>10.798674+0.0001i</v>
      </c>
      <c r="EC252" s="1" t="str">
        <f t="shared" si="51"/>
        <v>0.010799+53.777395i</v>
      </c>
      <c r="ED252" s="1" t="str">
        <f t="shared" si="52"/>
        <v>0.111237+580.724558i</v>
      </c>
      <c r="EE252" s="1" t="str">
        <f t="shared" si="53"/>
        <v>10.809473+53.777495i</v>
      </c>
      <c r="EF252" s="1" t="str">
        <f t="shared" si="54"/>
        <v>10.379704+2.08429i</v>
      </c>
      <c r="EG252" s="1" t="str">
        <f t="shared" si="55"/>
        <v>10.379804+1.542188i</v>
      </c>
    </row>
    <row r="253" spans="127:171" x14ac:dyDescent="0.25">
      <c r="DW253" s="1">
        <f t="shared" si="57"/>
        <v>50</v>
      </c>
      <c r="DX253" s="12" t="str">
        <f t="shared" si="49"/>
        <v>0.0001-0.539934i</v>
      </c>
      <c r="DY253" s="13" t="str">
        <f t="shared" si="60"/>
        <v>0.000000001</v>
      </c>
      <c r="DZ253" s="13" t="str">
        <f t="shared" si="56"/>
        <v>0.010799+53.993368i</v>
      </c>
      <c r="EA253" s="14" t="str">
        <f t="shared" si="50"/>
        <v>10.798674+0.0001i</v>
      </c>
      <c r="EC253" s="1" t="str">
        <f t="shared" si="51"/>
        <v>0.010799+53.993368i</v>
      </c>
      <c r="ED253" s="1" t="str">
        <f t="shared" si="52"/>
        <v>0.111216+583.05678i</v>
      </c>
      <c r="EE253" s="1" t="str">
        <f t="shared" si="53"/>
        <v>10.809473+53.993468i</v>
      </c>
      <c r="EF253" s="1" t="str">
        <f t="shared" si="54"/>
        <v>10.38292+2.076597i</v>
      </c>
      <c r="EG253" s="1" t="str">
        <f t="shared" si="55"/>
        <v>10.38302+1.536663i</v>
      </c>
    </row>
    <row r="254" spans="127:171" x14ac:dyDescent="0.25">
      <c r="DX254" s="12"/>
      <c r="DY254" s="13"/>
      <c r="DZ254" s="13"/>
      <c r="EA254" s="14"/>
    </row>
    <row r="255" spans="127:171" x14ac:dyDescent="0.25">
      <c r="DX255" s="12"/>
      <c r="DY255" s="13"/>
      <c r="DZ255" s="13"/>
      <c r="EA255" s="14"/>
    </row>
    <row r="256" spans="127:171" x14ac:dyDescent="0.25">
      <c r="DX256" s="12"/>
      <c r="DY256" s="13"/>
      <c r="DZ256" s="13"/>
      <c r="EA256" s="14"/>
    </row>
    <row r="257" spans="128:148" x14ac:dyDescent="0.25">
      <c r="DX257" s="12"/>
      <c r="DY257" s="13"/>
      <c r="DZ257" s="13"/>
      <c r="EA257" s="14"/>
    </row>
    <row r="258" spans="128:148" x14ac:dyDescent="0.25">
      <c r="DX258" s="12"/>
      <c r="DY258" s="13"/>
      <c r="DZ258" s="13"/>
      <c r="EA258" s="14"/>
    </row>
    <row r="259" spans="128:148" x14ac:dyDescent="0.25">
      <c r="DY259" s="1"/>
      <c r="DZ259" s="1"/>
      <c r="EA259" s="1"/>
    </row>
    <row r="260" spans="128:148" x14ac:dyDescent="0.25">
      <c r="DY260" s="1"/>
      <c r="DZ260" s="1"/>
      <c r="EA260" s="15">
        <f>J24</f>
        <v>1</v>
      </c>
      <c r="EB260" s="15">
        <f>L24</f>
        <v>2</v>
      </c>
      <c r="EC260" s="15">
        <f>N24</f>
        <v>3</v>
      </c>
      <c r="ED260" s="15">
        <f>P24</f>
        <v>4</v>
      </c>
      <c r="EE260" s="15">
        <f>R24</f>
        <v>5</v>
      </c>
      <c r="EF260" s="15">
        <f>T24</f>
        <v>7</v>
      </c>
      <c r="EG260" s="15">
        <f>V24</f>
        <v>11</v>
      </c>
      <c r="EH260" s="15">
        <f>X24</f>
        <v>13</v>
      </c>
      <c r="EI260" s="15">
        <f>Z24</f>
        <v>17</v>
      </c>
      <c r="EJ260" s="15">
        <f>AB24</f>
        <v>19</v>
      </c>
      <c r="EK260" s="15">
        <f>AD24</f>
        <v>23</v>
      </c>
      <c r="EL260" s="15">
        <f>AF24</f>
        <v>25</v>
      </c>
      <c r="EM260" s="15">
        <f>AH24</f>
        <v>29</v>
      </c>
      <c r="EN260" s="15">
        <f>AJ24</f>
        <v>31</v>
      </c>
      <c r="EO260" s="15">
        <f>AL24</f>
        <v>35</v>
      </c>
      <c r="EP260" s="15">
        <f>AN24</f>
        <v>37</v>
      </c>
      <c r="ER260" s="57">
        <f>S28</f>
        <v>9.9600000000000009</v>
      </c>
    </row>
    <row r="261" spans="128:148" x14ac:dyDescent="0.25">
      <c r="DY261" s="1" t="s">
        <v>201</v>
      </c>
      <c r="DZ261" s="1"/>
      <c r="EA261" s="57">
        <f>O61^2</f>
        <v>56376516.146082789</v>
      </c>
      <c r="EB261" s="57">
        <f>O62^2</f>
        <v>0</v>
      </c>
      <c r="EC261" s="57">
        <f>O63^2</f>
        <v>0</v>
      </c>
      <c r="ED261" s="57">
        <f>O64^2</f>
        <v>0</v>
      </c>
      <c r="EE261" s="57">
        <f>O65^2</f>
        <v>291528.37939826888</v>
      </c>
      <c r="EF261" s="57">
        <f>O66^2</f>
        <v>95192.940211679626</v>
      </c>
      <c r="EG261" s="57">
        <f>O67^2</f>
        <v>21683.92904615224</v>
      </c>
      <c r="EH261" s="57">
        <f>68^2</f>
        <v>4624</v>
      </c>
      <c r="EI261" s="57">
        <f>O69^2</f>
        <v>1008.7487176410688</v>
      </c>
      <c r="EJ261" s="59">
        <f>O70^2</f>
        <v>201.88945941708369</v>
      </c>
      <c r="EK261" s="59">
        <f>O71^2</f>
        <v>137.77333619955996</v>
      </c>
      <c r="EL261" s="59">
        <f>O72^2</f>
        <v>116.61135175930752</v>
      </c>
      <c r="EM261" s="60">
        <f>O73^2</f>
        <v>0</v>
      </c>
      <c r="EN261" s="59">
        <f>O74^2</f>
        <v>0</v>
      </c>
      <c r="EO261" s="60">
        <f>O75^2</f>
        <v>59.495587632299767</v>
      </c>
      <c r="EP261" s="59">
        <f>O76^2</f>
        <v>53.237468845556776</v>
      </c>
    </row>
    <row r="262" spans="128:148" x14ac:dyDescent="0.25">
      <c r="DY262" s="1" t="s">
        <v>202</v>
      </c>
      <c r="DZ262" s="1"/>
      <c r="EA262" s="1">
        <f>J25*J25</f>
        <v>77353.040225376506</v>
      </c>
      <c r="EB262" s="1">
        <f>L25*L25</f>
        <v>0</v>
      </c>
      <c r="EC262" s="1">
        <f>N25*N25</f>
        <v>0</v>
      </c>
      <c r="ED262" s="1">
        <f>P25*P25</f>
        <v>0</v>
      </c>
      <c r="EE262" s="1">
        <f>R25*R25</f>
        <v>10000</v>
      </c>
      <c r="EF262" s="1">
        <f>T25*T25</f>
        <v>6400</v>
      </c>
      <c r="EG262" s="1">
        <f>V25*V25</f>
        <v>3600</v>
      </c>
      <c r="EH262" s="1">
        <f>X25*X25</f>
        <v>900</v>
      </c>
      <c r="EI262" s="1">
        <f>Z25*Z25</f>
        <v>400</v>
      </c>
      <c r="EJ262" s="1">
        <f>AB25*AB25</f>
        <v>100</v>
      </c>
      <c r="EK262" s="1">
        <f>AD25*AD25</f>
        <v>100</v>
      </c>
      <c r="EL262" s="1">
        <f>AF25*AF25</f>
        <v>100</v>
      </c>
      <c r="EM262" s="1">
        <f>AH25*AH25</f>
        <v>0</v>
      </c>
      <c r="EN262" s="1">
        <f>AJ25*AJ25</f>
        <v>0</v>
      </c>
      <c r="EO262" s="1">
        <f>AL25*AL25</f>
        <v>100</v>
      </c>
      <c r="EP262" s="1">
        <f>AN25*AN25</f>
        <v>100</v>
      </c>
      <c r="ER262" s="1">
        <f>1.414*S28</f>
        <v>14.083440000000001</v>
      </c>
    </row>
    <row r="263" spans="128:148" x14ac:dyDescent="0.25">
      <c r="DY263" s="1" t="s">
        <v>203</v>
      </c>
      <c r="DZ263" s="1"/>
      <c r="EA263" s="1">
        <f t="shared" ref="EA263:EP263" si="61">EA262*$AJ$30/(EA260*1000)</f>
        <v>2088.2755855524747</v>
      </c>
      <c r="EB263" s="1">
        <f t="shared" si="61"/>
        <v>0</v>
      </c>
      <c r="EC263" s="1">
        <f t="shared" si="61"/>
        <v>0</v>
      </c>
      <c r="ED263" s="1">
        <f t="shared" si="61"/>
        <v>0</v>
      </c>
      <c r="EE263" s="1">
        <f t="shared" si="61"/>
        <v>53.993368055555571</v>
      </c>
      <c r="EF263" s="1">
        <f t="shared" si="61"/>
        <v>24.682682539682549</v>
      </c>
      <c r="EG263" s="1">
        <f t="shared" si="61"/>
        <v>8.8352784090909111</v>
      </c>
      <c r="EH263" s="1">
        <f t="shared" si="61"/>
        <v>1.8690012019230775</v>
      </c>
      <c r="EI263" s="1">
        <f t="shared" si="61"/>
        <v>0.63521609477124208</v>
      </c>
      <c r="EJ263" s="1">
        <f t="shared" si="61"/>
        <v>0.14208781067251466</v>
      </c>
      <c r="EK263" s="1">
        <f t="shared" si="61"/>
        <v>0.11737688707729473</v>
      </c>
      <c r="EL263" s="1">
        <f t="shared" si="61"/>
        <v>0.10798673611111115</v>
      </c>
      <c r="EM263" s="1">
        <f t="shared" si="61"/>
        <v>0</v>
      </c>
      <c r="EN263" s="1">
        <f t="shared" si="61"/>
        <v>0</v>
      </c>
      <c r="EO263" s="1">
        <f t="shared" si="61"/>
        <v>7.7133382936507969E-2</v>
      </c>
      <c r="EP263" s="1">
        <f t="shared" si="61"/>
        <v>7.2964010885885916E-2</v>
      </c>
      <c r="ER263" s="1">
        <f>AJ28/S28</f>
        <v>73.786839818933515</v>
      </c>
    </row>
    <row r="264" spans="128:148" x14ac:dyDescent="0.25">
      <c r="DY264" s="1"/>
      <c r="DZ264" s="1"/>
      <c r="EA264" s="1"/>
      <c r="ER264" s="15">
        <f>AJ28*S29</f>
        <v>3674.5846229828894</v>
      </c>
    </row>
    <row r="265" spans="128:148" x14ac:dyDescent="0.25">
      <c r="DY265" s="1"/>
      <c r="DZ265" s="1"/>
      <c r="EA265" s="1"/>
    </row>
    <row r="266" spans="128:148" x14ac:dyDescent="0.25">
      <c r="DY266" s="1"/>
      <c r="DZ266" s="1"/>
      <c r="EA266" s="1"/>
    </row>
    <row r="267" spans="128:148" x14ac:dyDescent="0.25">
      <c r="DY267" s="1"/>
      <c r="DZ267" s="1"/>
      <c r="EA267" s="1"/>
    </row>
    <row r="268" spans="128:148" x14ac:dyDescent="0.25">
      <c r="DY268" s="1"/>
      <c r="DZ268" s="1"/>
      <c r="EA268" s="1"/>
    </row>
    <row r="269" spans="128:148" x14ac:dyDescent="0.25">
      <c r="DY269" s="1"/>
      <c r="DZ269" s="1"/>
      <c r="EA269" s="1"/>
    </row>
    <row r="270" spans="128:148" x14ac:dyDescent="0.25">
      <c r="DY270" s="1"/>
      <c r="DZ270" s="1"/>
      <c r="EA270" s="1"/>
    </row>
    <row r="271" spans="128:148" x14ac:dyDescent="0.25">
      <c r="DY271" s="1"/>
      <c r="DZ271" s="1"/>
      <c r="EA271" s="1"/>
    </row>
    <row r="272" spans="128:148" x14ac:dyDescent="0.25">
      <c r="DY272" s="1" t="s">
        <v>11</v>
      </c>
      <c r="DZ272" s="1"/>
      <c r="EA272" s="53" t="s">
        <v>11</v>
      </c>
    </row>
    <row r="273" spans="129:150" x14ac:dyDescent="0.25">
      <c r="DY273" s="1"/>
      <c r="DZ273" s="1"/>
      <c r="EA273" s="1"/>
    </row>
    <row r="274" spans="129:150" x14ac:dyDescent="0.25">
      <c r="DY274" s="1" t="s">
        <v>204</v>
      </c>
      <c r="DZ274" s="1"/>
      <c r="EA274" s="15">
        <f>J24</f>
        <v>1</v>
      </c>
      <c r="EB274" s="15">
        <f>L24</f>
        <v>2</v>
      </c>
      <c r="EC274" s="15">
        <f>N24</f>
        <v>3</v>
      </c>
      <c r="ED274" s="15">
        <f>P24</f>
        <v>4</v>
      </c>
      <c r="EE274" s="15">
        <f>R24</f>
        <v>5</v>
      </c>
      <c r="EF274" s="15">
        <f>T24</f>
        <v>7</v>
      </c>
      <c r="EG274" s="15">
        <f>V24</f>
        <v>11</v>
      </c>
      <c r="EH274" s="15">
        <f>X24</f>
        <v>13</v>
      </c>
      <c r="EI274" s="15">
        <f>Z24</f>
        <v>17</v>
      </c>
      <c r="EJ274" s="15">
        <f>AB24</f>
        <v>19</v>
      </c>
      <c r="EK274" s="15">
        <f>AD24</f>
        <v>23</v>
      </c>
      <c r="EL274" s="15">
        <f>AF24</f>
        <v>25</v>
      </c>
      <c r="EM274" s="15">
        <f>AH24</f>
        <v>29</v>
      </c>
      <c r="EN274" s="15">
        <f>AJ24</f>
        <v>31</v>
      </c>
      <c r="EO274" s="15">
        <f>AL24</f>
        <v>35</v>
      </c>
      <c r="EP274" s="15">
        <f>AN24</f>
        <v>37</v>
      </c>
      <c r="EQ274" s="1" t="s">
        <v>11</v>
      </c>
      <c r="ER274" s="1" t="s">
        <v>11</v>
      </c>
      <c r="ES274" s="1" t="s">
        <v>11</v>
      </c>
      <c r="ET274" s="1" t="s">
        <v>11</v>
      </c>
    </row>
    <row r="275" spans="129:150" x14ac:dyDescent="0.25">
      <c r="DY275" s="1" t="s">
        <v>205</v>
      </c>
      <c r="DZ275" s="1"/>
      <c r="EA275" s="15">
        <f>J25</f>
        <v>278.12414534767834</v>
      </c>
      <c r="EB275" s="15">
        <f>L25</f>
        <v>0</v>
      </c>
      <c r="EC275" s="15">
        <f>N25</f>
        <v>0</v>
      </c>
      <c r="ED275" s="15">
        <f>P25</f>
        <v>0</v>
      </c>
      <c r="EE275" s="15">
        <f>R25</f>
        <v>100</v>
      </c>
      <c r="EF275" s="15">
        <f>T25</f>
        <v>80</v>
      </c>
      <c r="EG275" s="15">
        <f>V25</f>
        <v>60</v>
      </c>
      <c r="EH275" s="15">
        <f>X25</f>
        <v>30</v>
      </c>
      <c r="EI275" s="15">
        <f>Z25</f>
        <v>20</v>
      </c>
      <c r="EJ275" s="15">
        <f>AB25</f>
        <v>10</v>
      </c>
      <c r="EK275" s="15">
        <f>AD25</f>
        <v>10</v>
      </c>
      <c r="EL275" s="15">
        <f>AF25</f>
        <v>10</v>
      </c>
      <c r="EM275" s="15">
        <f>AH25</f>
        <v>0</v>
      </c>
      <c r="EN275" s="15">
        <f>AJ25</f>
        <v>0</v>
      </c>
      <c r="EO275" s="15">
        <f>AL25</f>
        <v>10</v>
      </c>
      <c r="EP275" s="15">
        <f>AN25</f>
        <v>10</v>
      </c>
    </row>
    <row r="276" spans="129:150" x14ac:dyDescent="0.25">
      <c r="DY276" s="1" t="s">
        <v>206</v>
      </c>
      <c r="DZ276" s="1"/>
      <c r="EA276" s="53">
        <f t="shared" ref="EA276:EP276" si="62">1/SQRT((1/$AJ$40^2)+(1/($AJ$34*EA274)^2))</f>
        <v>1.074508184799476</v>
      </c>
      <c r="EB276" s="53">
        <f t="shared" si="62"/>
        <v>2.1177941332298094</v>
      </c>
      <c r="EC276" s="53">
        <f t="shared" si="62"/>
        <v>3.1029760290738699</v>
      </c>
      <c r="ED276" s="53">
        <f t="shared" si="62"/>
        <v>4.0105266961577684</v>
      </c>
      <c r="EE276" s="53">
        <f t="shared" si="62"/>
        <v>4.8293136522555153</v>
      </c>
      <c r="EF276" s="53">
        <f t="shared" si="62"/>
        <v>6.1926326850421871</v>
      </c>
      <c r="EG276" s="53">
        <f t="shared" si="62"/>
        <v>7.9903713443843989</v>
      </c>
      <c r="EH276" s="53">
        <f t="shared" si="62"/>
        <v>8.5592877546774684</v>
      </c>
      <c r="EI276" s="53">
        <f t="shared" si="62"/>
        <v>9.3077462637379735</v>
      </c>
      <c r="EJ276" s="53">
        <f t="shared" si="62"/>
        <v>9.5559430560276688</v>
      </c>
      <c r="EK276" s="53">
        <f t="shared" si="62"/>
        <v>9.9031402160019937</v>
      </c>
      <c r="EL276" s="53">
        <f t="shared" si="62"/>
        <v>10.026316740394421</v>
      </c>
      <c r="EM276" s="53">
        <f t="shared" si="62"/>
        <v>10.208774269345056</v>
      </c>
      <c r="EN276" s="53">
        <f t="shared" si="62"/>
        <v>10.277190736077895</v>
      </c>
      <c r="EO276" s="53">
        <f t="shared" si="62"/>
        <v>10.383183279840342</v>
      </c>
      <c r="EP276" s="53">
        <f t="shared" si="62"/>
        <v>10.424644197427027</v>
      </c>
    </row>
    <row r="277" spans="129:150" x14ac:dyDescent="0.25">
      <c r="DY277" s="1" t="s">
        <v>207</v>
      </c>
      <c r="DZ277" s="1"/>
      <c r="EA277" s="57">
        <f t="shared" ref="EA277:EP277" si="63">(EA276*EA275)/(EA274*$AJ$34)</f>
        <v>276.74386811630848</v>
      </c>
      <c r="EB277" s="57">
        <f t="shared" si="63"/>
        <v>0</v>
      </c>
      <c r="EC277" s="57">
        <f t="shared" si="63"/>
        <v>0</v>
      </c>
      <c r="ED277" s="57">
        <f t="shared" si="63"/>
        <v>0</v>
      </c>
      <c r="EE277" s="57">
        <f t="shared" si="63"/>
        <v>89.442719099991592</v>
      </c>
      <c r="EF277" s="57">
        <f t="shared" si="63"/>
        <v>65.538553641523222</v>
      </c>
      <c r="EG277" s="57">
        <f t="shared" si="63"/>
        <v>40.360367639778751</v>
      </c>
      <c r="EH277" s="57">
        <f t="shared" si="63"/>
        <v>18.291322825490774</v>
      </c>
      <c r="EI277" s="57">
        <f t="shared" si="63"/>
        <v>10.140402531267876</v>
      </c>
      <c r="EJ277" s="57">
        <f t="shared" si="63"/>
        <v>4.6574643283262231</v>
      </c>
      <c r="EK277" s="57">
        <f t="shared" si="63"/>
        <v>3.9872611141445002</v>
      </c>
      <c r="EL277" s="57">
        <f t="shared" si="63"/>
        <v>3.7139067635410372</v>
      </c>
      <c r="EM277" s="57">
        <f t="shared" si="63"/>
        <v>0</v>
      </c>
      <c r="EN277" s="57">
        <f t="shared" si="63"/>
        <v>0</v>
      </c>
      <c r="EO277" s="57">
        <f t="shared" si="63"/>
        <v>2.7472112789737806</v>
      </c>
      <c r="EP277" s="57">
        <f t="shared" si="63"/>
        <v>2.6090902514277472</v>
      </c>
    </row>
    <row r="278" spans="129:150" x14ac:dyDescent="0.25">
      <c r="DY278" s="1" t="s">
        <v>208</v>
      </c>
      <c r="DZ278" s="1"/>
      <c r="EA278" s="57">
        <f t="shared" ref="EA278:EP278" si="64">(EA275*EA276)/$AJ$40</f>
        <v>27.67438681163085</v>
      </c>
      <c r="EB278" s="57">
        <f t="shared" si="64"/>
        <v>0</v>
      </c>
      <c r="EC278" s="57">
        <f t="shared" si="64"/>
        <v>0</v>
      </c>
      <c r="ED278" s="57">
        <f t="shared" si="64"/>
        <v>0</v>
      </c>
      <c r="EE278" s="57">
        <f t="shared" si="64"/>
        <v>44.721359549995796</v>
      </c>
      <c r="EF278" s="57">
        <f t="shared" si="64"/>
        <v>45.876987549066264</v>
      </c>
      <c r="EG278" s="57">
        <f t="shared" si="64"/>
        <v>44.396404403756634</v>
      </c>
      <c r="EH278" s="57">
        <f t="shared" si="64"/>
        <v>23.77871967313801</v>
      </c>
      <c r="EI278" s="57">
        <f t="shared" si="64"/>
        <v>17.238684303155392</v>
      </c>
      <c r="EJ278" s="57">
        <f t="shared" si="64"/>
        <v>8.8491822238198257</v>
      </c>
      <c r="EK278" s="57">
        <f t="shared" si="64"/>
        <v>9.1707005625323514</v>
      </c>
      <c r="EL278" s="57">
        <f t="shared" si="64"/>
        <v>9.2847669088525944</v>
      </c>
      <c r="EM278" s="57">
        <f t="shared" si="64"/>
        <v>0</v>
      </c>
      <c r="EN278" s="57">
        <f t="shared" si="64"/>
        <v>0</v>
      </c>
      <c r="EO278" s="57">
        <f t="shared" si="64"/>
        <v>9.6152394764082327</v>
      </c>
      <c r="EP278" s="57">
        <f t="shared" si="64"/>
        <v>9.6536339302826644</v>
      </c>
    </row>
    <row r="279" spans="129:150" x14ac:dyDescent="0.25">
      <c r="DY279" s="1" t="s">
        <v>209</v>
      </c>
      <c r="DZ279" s="1"/>
      <c r="EA279" s="57">
        <f t="shared" ref="EA279:EP279" si="65">EA278*EA278*$AJ$40</f>
        <v>8270.3983586236627</v>
      </c>
      <c r="EB279" s="57">
        <f t="shared" si="65"/>
        <v>0</v>
      </c>
      <c r="EC279" s="57">
        <f t="shared" si="65"/>
        <v>0</v>
      </c>
      <c r="ED279" s="57">
        <f t="shared" si="65"/>
        <v>0</v>
      </c>
      <c r="EE279" s="57">
        <f t="shared" si="65"/>
        <v>21597.347222222226</v>
      </c>
      <c r="EF279" s="57">
        <f t="shared" si="65"/>
        <v>22727.946607009693</v>
      </c>
      <c r="EG279" s="57">
        <f t="shared" si="65"/>
        <v>21284.625452488701</v>
      </c>
      <c r="EH279" s="57">
        <f t="shared" si="65"/>
        <v>6105.8671236059517</v>
      </c>
      <c r="EI279" s="57">
        <f t="shared" si="65"/>
        <v>3209.0659882890614</v>
      </c>
      <c r="EJ279" s="57">
        <f t="shared" si="65"/>
        <v>845.6228142323456</v>
      </c>
      <c r="EK279" s="57">
        <f t="shared" si="65"/>
        <v>908.18733549726232</v>
      </c>
      <c r="EL279" s="57">
        <f t="shared" si="65"/>
        <v>930.92013888888926</v>
      </c>
      <c r="EM279" s="57">
        <f t="shared" si="65"/>
        <v>0</v>
      </c>
      <c r="EN279" s="57">
        <f t="shared" si="65"/>
        <v>0</v>
      </c>
      <c r="EO279" s="57">
        <f t="shared" si="65"/>
        <v>998.36793763102764</v>
      </c>
      <c r="EP279" s="57">
        <f t="shared" si="65"/>
        <v>1006.3569893540584</v>
      </c>
      <c r="ER279" s="57">
        <f>SUM(EB279:EP279)</f>
        <v>79614.30760921922</v>
      </c>
      <c r="ES279" s="1">
        <f>3*ER279</f>
        <v>238842.92282765766</v>
      </c>
    </row>
    <row r="280" spans="129:150" x14ac:dyDescent="0.25">
      <c r="DY280" s="1" t="s">
        <v>210</v>
      </c>
      <c r="DZ280" s="1"/>
      <c r="EA280" s="15">
        <f t="shared" ref="EA280:EP280" si="66">EA278*EA278</f>
        <v>765.87168539976756</v>
      </c>
      <c r="EB280" s="1">
        <f t="shared" si="66"/>
        <v>0</v>
      </c>
      <c r="EC280" s="1">
        <f t="shared" si="66"/>
        <v>0</v>
      </c>
      <c r="ED280" s="1">
        <f t="shared" si="66"/>
        <v>0</v>
      </c>
      <c r="EE280" s="1">
        <f t="shared" si="66"/>
        <v>2000.0000000000002</v>
      </c>
      <c r="EF280" s="1">
        <f t="shared" si="66"/>
        <v>2104.6979865771809</v>
      </c>
      <c r="EG280" s="1">
        <f t="shared" si="66"/>
        <v>1971.0407239819015</v>
      </c>
      <c r="EH280" s="1">
        <f t="shared" si="66"/>
        <v>565.4275092936806</v>
      </c>
      <c r="EI280" s="1">
        <f t="shared" si="66"/>
        <v>297.17223650385608</v>
      </c>
      <c r="EJ280" s="1">
        <f t="shared" si="66"/>
        <v>78.308026030368794</v>
      </c>
      <c r="EK280" s="1">
        <f t="shared" si="66"/>
        <v>84.101748807631182</v>
      </c>
      <c r="EL280" s="1">
        <f t="shared" si="66"/>
        <v>86.206896551724157</v>
      </c>
      <c r="EM280" s="1">
        <f t="shared" si="66"/>
        <v>0</v>
      </c>
      <c r="EN280" s="1">
        <f t="shared" si="66"/>
        <v>0</v>
      </c>
      <c r="EO280" s="1">
        <f t="shared" si="66"/>
        <v>92.452830188679272</v>
      </c>
      <c r="EP280" s="1">
        <f t="shared" si="66"/>
        <v>93.192648059904727</v>
      </c>
      <c r="ER280" s="1" t="s">
        <v>211</v>
      </c>
      <c r="ET280" s="1">
        <f>SQRT(SUM(EA280:EP280))</f>
        <v>90.213481760736258</v>
      </c>
    </row>
    <row r="281" spans="129:150" x14ac:dyDescent="0.25">
      <c r="DY281" s="1" t="s">
        <v>212</v>
      </c>
      <c r="DZ281" s="1"/>
      <c r="EA281" s="15">
        <f t="shared" ref="EA281:EP281" si="67">EA275*EA275</f>
        <v>77353.040225376506</v>
      </c>
      <c r="EB281" s="15">
        <f t="shared" si="67"/>
        <v>0</v>
      </c>
      <c r="EC281" s="15">
        <f t="shared" si="67"/>
        <v>0</v>
      </c>
      <c r="ED281" s="15">
        <f t="shared" si="67"/>
        <v>0</v>
      </c>
      <c r="EE281" s="15">
        <f t="shared" si="67"/>
        <v>10000</v>
      </c>
      <c r="EF281" s="15">
        <f t="shared" si="67"/>
        <v>6400</v>
      </c>
      <c r="EG281" s="15">
        <f t="shared" si="67"/>
        <v>3600</v>
      </c>
      <c r="EH281" s="15">
        <f t="shared" si="67"/>
        <v>900</v>
      </c>
      <c r="EI281" s="15">
        <f t="shared" si="67"/>
        <v>400</v>
      </c>
      <c r="EJ281" s="15">
        <f t="shared" si="67"/>
        <v>100</v>
      </c>
      <c r="EK281" s="15">
        <f t="shared" si="67"/>
        <v>100</v>
      </c>
      <c r="EL281" s="15">
        <f t="shared" si="67"/>
        <v>100</v>
      </c>
      <c r="EM281" s="15">
        <f t="shared" si="67"/>
        <v>0</v>
      </c>
      <c r="EN281" s="15">
        <f t="shared" si="67"/>
        <v>0</v>
      </c>
      <c r="EO281" s="15">
        <f t="shared" si="67"/>
        <v>100</v>
      </c>
      <c r="EP281" s="15">
        <f t="shared" si="67"/>
        <v>100</v>
      </c>
      <c r="ER281" s="1" t="s">
        <v>213</v>
      </c>
      <c r="ET281" s="1">
        <f>SQRT(SUM(EA281:EP281))</f>
        <v>314.88575741906226</v>
      </c>
    </row>
    <row r="282" spans="129:150" ht="17.25" x14ac:dyDescent="0.25">
      <c r="DY282" s="1" t="s">
        <v>214</v>
      </c>
      <c r="DZ282" s="1"/>
      <c r="EA282" s="15">
        <f>$AJ$34/S34*EA277*EA277</f>
        <v>827.03983586236598</v>
      </c>
      <c r="EB282" s="15">
        <f>$AJ$34/S34*EB277*EB277</f>
        <v>0</v>
      </c>
      <c r="EC282" s="15">
        <f>$AJ$34/S34*EC277*EC277</f>
        <v>0</v>
      </c>
      <c r="ED282" s="15">
        <f>$AJ$34/S34*ED277*ED277</f>
        <v>0</v>
      </c>
      <c r="EE282" s="15">
        <f>$AJ$34/S34*EE277*EE277</f>
        <v>86.389388888888917</v>
      </c>
      <c r="EF282" s="15">
        <f>$AJ$34/S34*EF277*EF277</f>
        <v>46.383564504101408</v>
      </c>
      <c r="EG282" s="15">
        <f>$AJ$34/S34*EG277*EG277</f>
        <v>17.590599547511317</v>
      </c>
      <c r="EH282" s="15">
        <f>$AJ$34/S34*EH277*EH277</f>
        <v>3.6129391263940538</v>
      </c>
      <c r="EI282" s="15">
        <f>$AJ$34/S34*EI277*EI277</f>
        <v>1.1104034561553842</v>
      </c>
      <c r="EJ282" s="15">
        <f>$AJ$34/S34*EJ277*EJ277</f>
        <v>0.23424454687876603</v>
      </c>
      <c r="EK282" s="15">
        <f>$AJ$34/S34*EK277*EK277</f>
        <v>0.17168002561384921</v>
      </c>
      <c r="EL282" s="15">
        <f>$AJ$34/S34*EL277*EL277</f>
        <v>0.14894722222222226</v>
      </c>
      <c r="EM282" s="15">
        <f>$AJ$34/S34*EM277*EM277</f>
        <v>0</v>
      </c>
      <c r="EN282" s="15">
        <f>$AJ$34/S34*EN277*EN277</f>
        <v>0</v>
      </c>
      <c r="EO282" s="15">
        <f>$AJ$34/S34*EO277*EO277</f>
        <v>8.1499423480083877E-2</v>
      </c>
      <c r="EP282" s="15">
        <f>$AJ$34/S34*EP277*EP277</f>
        <v>7.3510371757053217E-2</v>
      </c>
    </row>
    <row r="283" spans="129:150" x14ac:dyDescent="0.25">
      <c r="DY283" s="1"/>
      <c r="DZ283" s="1"/>
      <c r="EA283" s="1"/>
    </row>
    <row r="284" spans="129:150" x14ac:dyDescent="0.25">
      <c r="DY284" s="1"/>
      <c r="DZ284" s="1"/>
      <c r="EA284" s="1"/>
    </row>
    <row r="285" spans="129:150" x14ac:dyDescent="0.25">
      <c r="DY285" s="1"/>
      <c r="DZ285" s="1" t="s">
        <v>215</v>
      </c>
      <c r="EA285" s="1">
        <f t="shared" ref="EA285:EP285" si="68">EA277*EA277</f>
        <v>76587.168539976745</v>
      </c>
      <c r="EB285" s="1">
        <f t="shared" si="68"/>
        <v>0</v>
      </c>
      <c r="EC285" s="1">
        <f t="shared" si="68"/>
        <v>0</v>
      </c>
      <c r="ED285" s="1">
        <f t="shared" si="68"/>
        <v>0</v>
      </c>
      <c r="EE285" s="1">
        <f t="shared" si="68"/>
        <v>8000.0000000000009</v>
      </c>
      <c r="EF285" s="1">
        <f t="shared" si="68"/>
        <v>4295.3020134228173</v>
      </c>
      <c r="EG285" s="1">
        <f t="shared" si="68"/>
        <v>1628.9592760180997</v>
      </c>
      <c r="EH285" s="1">
        <f t="shared" si="68"/>
        <v>334.5724907063198</v>
      </c>
      <c r="EI285" s="1">
        <f t="shared" si="68"/>
        <v>102.82776349614394</v>
      </c>
      <c r="EJ285" s="1">
        <f t="shared" si="68"/>
        <v>21.691973969631238</v>
      </c>
      <c r="EK285" s="1">
        <f t="shared" si="68"/>
        <v>15.898251192368841</v>
      </c>
      <c r="EL285" s="1">
        <f t="shared" si="68"/>
        <v>13.793103448275861</v>
      </c>
      <c r="EM285" s="1">
        <f t="shared" si="68"/>
        <v>0</v>
      </c>
      <c r="EN285" s="1">
        <f t="shared" si="68"/>
        <v>0</v>
      </c>
      <c r="EO285" s="1">
        <f t="shared" si="68"/>
        <v>7.5471698113207557</v>
      </c>
      <c r="EP285" s="1">
        <f t="shared" si="68"/>
        <v>6.8073519400953053</v>
      </c>
      <c r="ER285" s="1">
        <f>SQRT(SUM(EA285:EP285))</f>
        <v>301.68620772912675</v>
      </c>
    </row>
    <row r="286" spans="129:150" x14ac:dyDescent="0.25">
      <c r="DY286" s="1"/>
      <c r="DZ286" s="1"/>
      <c r="EA286" s="1"/>
    </row>
    <row r="304" ht="44.25" customHeight="1" x14ac:dyDescent="0.25"/>
    <row r="305" ht="18.75" customHeight="1" x14ac:dyDescent="0.25"/>
  </sheetData>
  <sheetProtection algorithmName="SHA-512" hashValue="SnV0+CGGvZxQd90Ch0N2+6RMCN/pyBzNoHWdM35Blkrq7EkYBgcM8+jXpxnJHr1KFJ9hjd72KS9CxuY3xDL2Cg==" saltValue="WFnHV471BYiCC4lgw8QWJw==" spinCount="100000" sheet="1" objects="1" scenarios="1"/>
  <mergeCells count="406">
    <mergeCell ref="BV12:BZ12"/>
    <mergeCell ref="H13:W13"/>
    <mergeCell ref="AE13:AN13"/>
    <mergeCell ref="BF13:BL13"/>
    <mergeCell ref="BN13:BT13"/>
    <mergeCell ref="BV13:BZ13"/>
    <mergeCell ref="C7:AO8"/>
    <mergeCell ref="AS9:CE9"/>
    <mergeCell ref="BF10:BT10"/>
    <mergeCell ref="H11:W11"/>
    <mergeCell ref="AE11:AN11"/>
    <mergeCell ref="BF11:BL12"/>
    <mergeCell ref="BN11:BT12"/>
    <mergeCell ref="H12:W12"/>
    <mergeCell ref="AE12:AN12"/>
    <mergeCell ref="AT12:BD12"/>
    <mergeCell ref="D16:AO16"/>
    <mergeCell ref="BF16:BL16"/>
    <mergeCell ref="BN16:BT16"/>
    <mergeCell ref="BV16:BZ16"/>
    <mergeCell ref="S17:U17"/>
    <mergeCell ref="AK17:AM17"/>
    <mergeCell ref="BF14:BL14"/>
    <mergeCell ref="BN14:BT14"/>
    <mergeCell ref="BV14:BZ14"/>
    <mergeCell ref="BF15:BL15"/>
    <mergeCell ref="BN15:BT15"/>
    <mergeCell ref="BV15:BZ15"/>
    <mergeCell ref="E18:R18"/>
    <mergeCell ref="S18:U18"/>
    <mergeCell ref="AS18:BI18"/>
    <mergeCell ref="BJ18:BL18"/>
    <mergeCell ref="CA18:CC18"/>
    <mergeCell ref="E19:R19"/>
    <mergeCell ref="S19:U19"/>
    <mergeCell ref="AK19:AM19"/>
    <mergeCell ref="AS19:BI19"/>
    <mergeCell ref="BJ19:BL19"/>
    <mergeCell ref="C21:R21"/>
    <mergeCell ref="S21:U21"/>
    <mergeCell ref="AK21:AM21"/>
    <mergeCell ref="AS21:BI21"/>
    <mergeCell ref="BJ21:BL21"/>
    <mergeCell ref="BM21:BO21"/>
    <mergeCell ref="CA19:CC19"/>
    <mergeCell ref="E20:R20"/>
    <mergeCell ref="S20:U20"/>
    <mergeCell ref="AK20:AM20"/>
    <mergeCell ref="AS20:BI20"/>
    <mergeCell ref="BJ20:BL20"/>
    <mergeCell ref="BM20:BO20"/>
    <mergeCell ref="AS22:BI22"/>
    <mergeCell ref="BJ22:BL22"/>
    <mergeCell ref="BM22:BO22"/>
    <mergeCell ref="C23:AO23"/>
    <mergeCell ref="AS23:BI23"/>
    <mergeCell ref="BJ23:BL23"/>
    <mergeCell ref="BM23:BO23"/>
    <mergeCell ref="BJ24:BL24"/>
    <mergeCell ref="BM24:BO24"/>
    <mergeCell ref="AH24:AI24"/>
    <mergeCell ref="AJ24:AK24"/>
    <mergeCell ref="AL24:AM24"/>
    <mergeCell ref="AN24:AO24"/>
    <mergeCell ref="AS24:BI24"/>
    <mergeCell ref="AF24:AG24"/>
    <mergeCell ref="T24:U24"/>
    <mergeCell ref="V24:W24"/>
    <mergeCell ref="X24:Y24"/>
    <mergeCell ref="Z24:AA24"/>
    <mergeCell ref="AB24:AC24"/>
    <mergeCell ref="AD24:AE24"/>
    <mergeCell ref="C24:I24"/>
    <mergeCell ref="J24:K24"/>
    <mergeCell ref="L24:M24"/>
    <mergeCell ref="N24:O24"/>
    <mergeCell ref="P24:Q24"/>
    <mergeCell ref="R24:S24"/>
    <mergeCell ref="AJ25:AK25"/>
    <mergeCell ref="AL25:AM25"/>
    <mergeCell ref="AN25:AO25"/>
    <mergeCell ref="C27:AO27"/>
    <mergeCell ref="B28:R28"/>
    <mergeCell ref="S28:U28"/>
    <mergeCell ref="AJ28:AL28"/>
    <mergeCell ref="X25:Y25"/>
    <mergeCell ref="Z25:AA25"/>
    <mergeCell ref="AB25:AC25"/>
    <mergeCell ref="AD25:AE25"/>
    <mergeCell ref="AF25:AG25"/>
    <mergeCell ref="AH25:AI25"/>
    <mergeCell ref="C25:I25"/>
    <mergeCell ref="J25:K25"/>
    <mergeCell ref="L25:M25"/>
    <mergeCell ref="N25:O25"/>
    <mergeCell ref="P25:Q25"/>
    <mergeCell ref="R25:S25"/>
    <mergeCell ref="T25:U25"/>
    <mergeCell ref="V25:W25"/>
    <mergeCell ref="C33:AO33"/>
    <mergeCell ref="C34:R34"/>
    <mergeCell ref="S34:U34"/>
    <mergeCell ref="W34:AI34"/>
    <mergeCell ref="AJ34:AL34"/>
    <mergeCell ref="S35:U35"/>
    <mergeCell ref="V35:AI35"/>
    <mergeCell ref="AJ35:AL35"/>
    <mergeCell ref="B29:R29"/>
    <mergeCell ref="S29:U29"/>
    <mergeCell ref="AJ29:AL29"/>
    <mergeCell ref="AJ30:AL30"/>
    <mergeCell ref="AJ31:AL31"/>
    <mergeCell ref="CR60:CU60"/>
    <mergeCell ref="CV60:CX60"/>
    <mergeCell ref="S36:U36"/>
    <mergeCell ref="C38:AO38"/>
    <mergeCell ref="S39:U39"/>
    <mergeCell ref="O40:Q40"/>
    <mergeCell ref="AJ40:AL40"/>
    <mergeCell ref="O41:Q41"/>
    <mergeCell ref="AJ41:AL41"/>
    <mergeCell ref="C59:G60"/>
    <mergeCell ref="AB59:AF60"/>
    <mergeCell ref="AI59:AM60"/>
    <mergeCell ref="AS59:CE59"/>
    <mergeCell ref="CL60:CN60"/>
    <mergeCell ref="CO60:CQ60"/>
    <mergeCell ref="AS54:BG54"/>
    <mergeCell ref="C56:AO56"/>
    <mergeCell ref="CL56:CN59"/>
    <mergeCell ref="CO56:CQ59"/>
    <mergeCell ref="CR56:CU59"/>
    <mergeCell ref="CV56:CX59"/>
    <mergeCell ref="C61:G61"/>
    <mergeCell ref="I61:L61"/>
    <mergeCell ref="O61:R61"/>
    <mergeCell ref="U61:Y61"/>
    <mergeCell ref="AB61:AF61"/>
    <mergeCell ref="AI61:AM61"/>
    <mergeCell ref="CL61:CN61"/>
    <mergeCell ref="CO61:CQ61"/>
    <mergeCell ref="I58:L60"/>
    <mergeCell ref="O58:R60"/>
    <mergeCell ref="AS58:CE58"/>
    <mergeCell ref="U57:Y60"/>
    <mergeCell ref="I62:L62"/>
    <mergeCell ref="O62:R62"/>
    <mergeCell ref="U62:Y62"/>
    <mergeCell ref="AB62:AF62"/>
    <mergeCell ref="AI62:AM62"/>
    <mergeCell ref="CL62:CN62"/>
    <mergeCell ref="CO62:CQ62"/>
    <mergeCell ref="CR62:CU62"/>
    <mergeCell ref="CV62:CX62"/>
    <mergeCell ref="CV64:CX64"/>
    <mergeCell ref="C63:G63"/>
    <mergeCell ref="I63:L63"/>
    <mergeCell ref="O63:R63"/>
    <mergeCell ref="U63:Y63"/>
    <mergeCell ref="AB63:AF63"/>
    <mergeCell ref="AI63:AM63"/>
    <mergeCell ref="CL63:CN63"/>
    <mergeCell ref="CO63:CQ63"/>
    <mergeCell ref="CR63:CU63"/>
    <mergeCell ref="C64:G64"/>
    <mergeCell ref="I64:L64"/>
    <mergeCell ref="O64:R64"/>
    <mergeCell ref="U64:Y64"/>
    <mergeCell ref="AB64:AF64"/>
    <mergeCell ref="AI64:AM64"/>
    <mergeCell ref="CL64:CN64"/>
    <mergeCell ref="CO64:CQ64"/>
    <mergeCell ref="CR64:CU64"/>
    <mergeCell ref="CR61:CU61"/>
    <mergeCell ref="CV61:CX61"/>
    <mergeCell ref="C62:G62"/>
    <mergeCell ref="CV65:CX65"/>
    <mergeCell ref="C66:G66"/>
    <mergeCell ref="I66:L66"/>
    <mergeCell ref="O66:R66"/>
    <mergeCell ref="U66:Y66"/>
    <mergeCell ref="AB66:AF66"/>
    <mergeCell ref="AI66:AM66"/>
    <mergeCell ref="CL66:CN66"/>
    <mergeCell ref="CO66:CQ66"/>
    <mergeCell ref="CR66:CU66"/>
    <mergeCell ref="CV66:CX66"/>
    <mergeCell ref="C65:G65"/>
    <mergeCell ref="I65:L65"/>
    <mergeCell ref="O65:R65"/>
    <mergeCell ref="U65:Y65"/>
    <mergeCell ref="AB65:AF65"/>
    <mergeCell ref="AI65:AM65"/>
    <mergeCell ref="CL65:CN65"/>
    <mergeCell ref="CO65:CQ65"/>
    <mergeCell ref="CR65:CU65"/>
    <mergeCell ref="CV63:CX63"/>
    <mergeCell ref="CV67:CX67"/>
    <mergeCell ref="C68:G68"/>
    <mergeCell ref="I68:L68"/>
    <mergeCell ref="O68:R68"/>
    <mergeCell ref="U68:Y68"/>
    <mergeCell ref="AB68:AF68"/>
    <mergeCell ref="AI68:AM68"/>
    <mergeCell ref="CL68:CN68"/>
    <mergeCell ref="CO68:CQ68"/>
    <mergeCell ref="CR68:CU68"/>
    <mergeCell ref="CV68:CX68"/>
    <mergeCell ref="C67:G67"/>
    <mergeCell ref="I67:L67"/>
    <mergeCell ref="O67:R67"/>
    <mergeCell ref="U67:Y67"/>
    <mergeCell ref="AB67:AF67"/>
    <mergeCell ref="AI67:AM67"/>
    <mergeCell ref="CL67:CN67"/>
    <mergeCell ref="CO67:CQ67"/>
    <mergeCell ref="CR67:CU67"/>
    <mergeCell ref="CV69:CX69"/>
    <mergeCell ref="C70:G70"/>
    <mergeCell ref="O70:R70"/>
    <mergeCell ref="U70:Y70"/>
    <mergeCell ref="AB70:AF70"/>
    <mergeCell ref="AI70:AM70"/>
    <mergeCell ref="CL70:CN70"/>
    <mergeCell ref="CO70:CQ70"/>
    <mergeCell ref="CR70:CU70"/>
    <mergeCell ref="CV70:CX70"/>
    <mergeCell ref="C69:G69"/>
    <mergeCell ref="I69:L69"/>
    <mergeCell ref="O69:R69"/>
    <mergeCell ref="U69:Y69"/>
    <mergeCell ref="AB69:AF69"/>
    <mergeCell ref="AI69:AM69"/>
    <mergeCell ref="CL69:CN69"/>
    <mergeCell ref="CO69:CQ69"/>
    <mergeCell ref="CR69:CU69"/>
    <mergeCell ref="CV71:CX71"/>
    <mergeCell ref="C72:G72"/>
    <mergeCell ref="I72:L72"/>
    <mergeCell ref="O72:R72"/>
    <mergeCell ref="U72:Y72"/>
    <mergeCell ref="AB72:AF72"/>
    <mergeCell ref="AI72:AM72"/>
    <mergeCell ref="CL72:CN72"/>
    <mergeCell ref="CO72:CQ72"/>
    <mergeCell ref="CR72:CU72"/>
    <mergeCell ref="CV72:CX72"/>
    <mergeCell ref="C71:G71"/>
    <mergeCell ref="I71:L71"/>
    <mergeCell ref="O71:R71"/>
    <mergeCell ref="U71:Y71"/>
    <mergeCell ref="AB71:AF71"/>
    <mergeCell ref="AI71:AM71"/>
    <mergeCell ref="CL71:CN71"/>
    <mergeCell ref="CO71:CQ71"/>
    <mergeCell ref="CR71:CU71"/>
    <mergeCell ref="CR73:CU73"/>
    <mergeCell ref="CV73:CX73"/>
    <mergeCell ref="C74:G74"/>
    <mergeCell ref="I74:L74"/>
    <mergeCell ref="O74:R74"/>
    <mergeCell ref="U74:Y74"/>
    <mergeCell ref="AB74:AF74"/>
    <mergeCell ref="AI74:AM74"/>
    <mergeCell ref="CL74:CN74"/>
    <mergeCell ref="CO74:CQ74"/>
    <mergeCell ref="C73:G73"/>
    <mergeCell ref="I73:L73"/>
    <mergeCell ref="O73:R73"/>
    <mergeCell ref="U73:Y73"/>
    <mergeCell ref="AB73:AF73"/>
    <mergeCell ref="AI73:AM73"/>
    <mergeCell ref="AT73:AX73"/>
    <mergeCell ref="CL73:CN73"/>
    <mergeCell ref="CO73:CQ73"/>
    <mergeCell ref="CR75:CU75"/>
    <mergeCell ref="CV75:CX75"/>
    <mergeCell ref="C76:G76"/>
    <mergeCell ref="I76:L76"/>
    <mergeCell ref="O76:R76"/>
    <mergeCell ref="U76:Y76"/>
    <mergeCell ref="AB76:AF76"/>
    <mergeCell ref="AI76:AM76"/>
    <mergeCell ref="CR74:CU74"/>
    <mergeCell ref="CV74:CX74"/>
    <mergeCell ref="C75:G75"/>
    <mergeCell ref="I75:L75"/>
    <mergeCell ref="O75:R75"/>
    <mergeCell ref="U75:Y75"/>
    <mergeCell ref="AB75:AF75"/>
    <mergeCell ref="AI75:AM75"/>
    <mergeCell ref="CL75:CN75"/>
    <mergeCell ref="CO75:CQ75"/>
    <mergeCell ref="AS107:CE107"/>
    <mergeCell ref="X108:AO108"/>
    <mergeCell ref="AT108:BG108"/>
    <mergeCell ref="BH108:BK108"/>
    <mergeCell ref="AT109:BG109"/>
    <mergeCell ref="BH109:BK109"/>
    <mergeCell ref="I77:L77"/>
    <mergeCell ref="O77:R77"/>
    <mergeCell ref="U77:Y77"/>
    <mergeCell ref="AB77:AF77"/>
    <mergeCell ref="AI77:AM77"/>
    <mergeCell ref="D106:AN106"/>
    <mergeCell ref="D113:G113"/>
    <mergeCell ref="H113:K113"/>
    <mergeCell ref="W113:Y113"/>
    <mergeCell ref="D114:G114"/>
    <mergeCell ref="H114:K114"/>
    <mergeCell ref="W114:Y114"/>
    <mergeCell ref="H110:O110"/>
    <mergeCell ref="AT110:BG110"/>
    <mergeCell ref="BH110:BK110"/>
    <mergeCell ref="AT111:BG111"/>
    <mergeCell ref="BH111:BK111"/>
    <mergeCell ref="D112:K112"/>
    <mergeCell ref="M112:AO112"/>
    <mergeCell ref="AT112:BG112"/>
    <mergeCell ref="BH112:BK112"/>
    <mergeCell ref="AT116:BG116"/>
    <mergeCell ref="BH116:BK116"/>
    <mergeCell ref="D117:G117"/>
    <mergeCell ref="H117:K117"/>
    <mergeCell ref="W117:Y117"/>
    <mergeCell ref="AT117:BG117"/>
    <mergeCell ref="BH117:BK117"/>
    <mergeCell ref="AT114:CF114"/>
    <mergeCell ref="D115:G115"/>
    <mergeCell ref="H115:K115"/>
    <mergeCell ref="W115:Y115"/>
    <mergeCell ref="AT115:BG115"/>
    <mergeCell ref="BH115:BK115"/>
    <mergeCell ref="D118:G118"/>
    <mergeCell ref="H118:K118"/>
    <mergeCell ref="W118:Y118"/>
    <mergeCell ref="D119:G119"/>
    <mergeCell ref="H119:K119"/>
    <mergeCell ref="W119:Y119"/>
    <mergeCell ref="D116:G116"/>
    <mergeCell ref="H116:K116"/>
    <mergeCell ref="W116:Y116"/>
    <mergeCell ref="D122:G122"/>
    <mergeCell ref="H122:K122"/>
    <mergeCell ref="W122:Y122"/>
    <mergeCell ref="D123:G123"/>
    <mergeCell ref="H123:K123"/>
    <mergeCell ref="W123:Y123"/>
    <mergeCell ref="AT119:BG119"/>
    <mergeCell ref="BH119:BK119"/>
    <mergeCell ref="D120:G120"/>
    <mergeCell ref="H120:K120"/>
    <mergeCell ref="W120:Y120"/>
    <mergeCell ref="D121:G121"/>
    <mergeCell ref="H121:K121"/>
    <mergeCell ref="W121:AN121"/>
    <mergeCell ref="D126:G126"/>
    <mergeCell ref="H126:K126"/>
    <mergeCell ref="W126:AE126"/>
    <mergeCell ref="D127:G127"/>
    <mergeCell ref="H127:K127"/>
    <mergeCell ref="W127:AE127"/>
    <mergeCell ref="D124:G124"/>
    <mergeCell ref="H124:K124"/>
    <mergeCell ref="W124:AE124"/>
    <mergeCell ref="D125:G125"/>
    <mergeCell ref="H125:K125"/>
    <mergeCell ref="W125:AE125"/>
    <mergeCell ref="AU159:BA159"/>
    <mergeCell ref="AU160:BA160"/>
    <mergeCell ref="C131:AO131"/>
    <mergeCell ref="C132:AO135"/>
    <mergeCell ref="C136:AO136"/>
    <mergeCell ref="C137:AO140"/>
    <mergeCell ref="C141:AO144"/>
    <mergeCell ref="AS154:CE154"/>
    <mergeCell ref="D128:G128"/>
    <mergeCell ref="H128:K128"/>
    <mergeCell ref="D129:G129"/>
    <mergeCell ref="H129:K129"/>
    <mergeCell ref="D130:G130"/>
    <mergeCell ref="H130:K130"/>
    <mergeCell ref="DW1:EG1"/>
    <mergeCell ref="J30:U30"/>
    <mergeCell ref="AU174:BA174"/>
    <mergeCell ref="AU175:BA175"/>
    <mergeCell ref="AU176:BA176"/>
    <mergeCell ref="C186:L188"/>
    <mergeCell ref="AU167:BA167"/>
    <mergeCell ref="AU168:BA168"/>
    <mergeCell ref="AU169:BA169"/>
    <mergeCell ref="C170:AN171"/>
    <mergeCell ref="AU172:BA172"/>
    <mergeCell ref="AU173:BA173"/>
    <mergeCell ref="AS180:CE180"/>
    <mergeCell ref="AS181:CE185"/>
    <mergeCell ref="AU161:BA161"/>
    <mergeCell ref="AU162:BA162"/>
    <mergeCell ref="AU163:BA163"/>
    <mergeCell ref="AU164:BA164"/>
    <mergeCell ref="AU165:BA165"/>
    <mergeCell ref="AT166:BA166"/>
    <mergeCell ref="AU155:BA155"/>
    <mergeCell ref="AU156:BA156"/>
    <mergeCell ref="AU157:BA157"/>
    <mergeCell ref="AU158:BA158"/>
  </mergeCells>
  <conditionalFormatting sqref="BF13 BN13">
    <cfRule type="cellIs" dxfId="41" priority="5" operator="greaterThan">
      <formula>$BV$13</formula>
    </cfRule>
    <cfRule type="cellIs" dxfId="40" priority="6" operator="lessThan">
      <formula>"89.0%$F$45"</formula>
    </cfRule>
    <cfRule type="cellIs" dxfId="39" priority="7" operator="greaterThan">
      <formula>$BV$13</formula>
    </cfRule>
  </conditionalFormatting>
  <conditionalFormatting sqref="BF13">
    <cfRule type="cellIs" dxfId="38" priority="4" operator="greaterThan">
      <formula>"e44"</formula>
    </cfRule>
  </conditionalFormatting>
  <conditionalFormatting sqref="BF14 BN14">
    <cfRule type="cellIs" dxfId="37" priority="9" operator="greaterThan">
      <formula>$BV$14</formula>
    </cfRule>
    <cfRule type="cellIs" dxfId="36" priority="10" operator="lessThan">
      <formula>"92.9%$F$46"</formula>
    </cfRule>
    <cfRule type="cellIs" dxfId="35" priority="11" operator="greaterThan">
      <formula>$BV$14</formula>
    </cfRule>
  </conditionalFormatting>
  <conditionalFormatting sqref="BF14">
    <cfRule type="cellIs" dxfId="34" priority="3" operator="greaterThan">
      <formula>"e45"</formula>
    </cfRule>
  </conditionalFormatting>
  <conditionalFormatting sqref="BF14:BF16 BN15:BN16">
    <cfRule type="cellIs" dxfId="33" priority="8" operator="greaterThan">
      <formula>#REF!</formula>
    </cfRule>
  </conditionalFormatting>
  <conditionalFormatting sqref="BF15 BN15">
    <cfRule type="cellIs" dxfId="32" priority="13" operator="greaterThan">
      <formula>$BV$15</formula>
    </cfRule>
    <cfRule type="cellIs" dxfId="31" priority="14" operator="lessThan">
      <formula>"90.3%$L$45"</formula>
    </cfRule>
    <cfRule type="cellIs" dxfId="30" priority="15" operator="greaterThan">
      <formula>$BV$15</formula>
    </cfRule>
  </conditionalFormatting>
  <conditionalFormatting sqref="BF15:BF16 BN15:BN16">
    <cfRule type="cellIs" dxfId="29" priority="12" operator="lessThan">
      <formula>#REF!</formula>
    </cfRule>
  </conditionalFormatting>
  <conditionalFormatting sqref="BF16 BN16">
    <cfRule type="cellIs" dxfId="28" priority="16" operator="lessThan">
      <formula>$BV$16</formula>
    </cfRule>
    <cfRule type="cellIs" dxfId="27" priority="17" operator="greaterThan">
      <formula>$BV$16</formula>
    </cfRule>
  </conditionalFormatting>
  <conditionalFormatting sqref="BN15">
    <cfRule type="cellIs" dxfId="26" priority="2" operator="greaterThan">
      <formula>"i44"</formula>
    </cfRule>
  </conditionalFormatting>
  <conditionalFormatting sqref="BN16">
    <cfRule type="cellIs" dxfId="25" priority="1" operator="greaterThan">
      <formula>"i45"</formula>
    </cfRule>
  </conditionalFormatting>
  <dataValidations count="2">
    <dataValidation allowBlank="1" showErrorMessage="1" sqref="S17:U17" xr:uid="{1FA16D37-68F3-441E-8698-84CEC5607DC5}"/>
    <dataValidation type="list" allowBlank="1" showInputMessage="1" showErrorMessage="1" sqref="D30:J30 V30:Z30" xr:uid="{A836AB88-50F8-4C56-B9DF-63EB39BD9B63}">
      <formula1>$FR$3:$FR$5</formula1>
    </dataValidation>
  </dataValidations>
  <printOptions horizontalCentered="1" verticalCentered="1"/>
  <pageMargins left="0.2" right="0.2" top="0.205416666666667" bottom="0.3" header="0" footer="0"/>
  <pageSetup scale="90" orientation="portrait" r:id="rId1"/>
  <headerFooter>
    <oddHeader xml:space="preserve">&amp;L
&amp;R       </oddHeader>
  </headerFooter>
  <rowBreaks count="2" manualBreakCount="2">
    <brk id="63" max="16383" man="1"/>
    <brk id="13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CF32F-E534-4421-A0DE-09BC20563251}">
  <sheetPr codeName="Sheet3">
    <pageSetUpPr fitToPage="1"/>
  </sheetPr>
  <dimension ref="B1:GV326"/>
  <sheetViews>
    <sheetView zoomScaleNormal="100" zoomScalePageLayoutView="70" workbookViewId="0">
      <selection activeCell="C170" sqref="C170:AN171"/>
    </sheetView>
  </sheetViews>
  <sheetFormatPr defaultRowHeight="15" x14ac:dyDescent="0.25"/>
  <cols>
    <col min="1" max="86" width="2.7109375" style="1" customWidth="1"/>
    <col min="87" max="130" width="2.7109375" style="1" hidden="1" customWidth="1"/>
    <col min="131" max="131" width="9.140625" style="1" hidden="1" customWidth="1"/>
    <col min="132" max="132" width="25.85546875" style="1" hidden="1" customWidth="1"/>
    <col min="133" max="133" width="38.85546875" style="1" customWidth="1"/>
    <col min="134" max="134" width="45.85546875" style="1" customWidth="1"/>
    <col min="135" max="135" width="9.28515625" style="1" customWidth="1"/>
    <col min="136" max="136" width="32.7109375" style="1" customWidth="1"/>
    <col min="137" max="137" width="22.85546875" style="1" customWidth="1"/>
    <col min="138" max="140" width="9.28515625" style="1" customWidth="1"/>
    <col min="141" max="156" width="9.140625" style="1" customWidth="1"/>
    <col min="157" max="159" width="9.140625" style="1" hidden="1" customWidth="1"/>
    <col min="160" max="160" width="24.7109375" style="1" hidden="1" customWidth="1"/>
    <col min="161" max="161" width="27.7109375" style="2" hidden="1" customWidth="1"/>
    <col min="162" max="162" width="38.7109375" style="2" hidden="1" customWidth="1"/>
    <col min="163" max="163" width="30.28515625" style="2" hidden="1" customWidth="1"/>
    <col min="164" max="164" width="3.7109375" style="1" hidden="1" customWidth="1"/>
    <col min="165" max="165" width="38.140625" style="1" hidden="1" customWidth="1"/>
    <col min="166" max="166" width="42.7109375" style="1" hidden="1" customWidth="1"/>
    <col min="167" max="167" width="44.140625" style="1" hidden="1" customWidth="1"/>
    <col min="168" max="168" width="39" style="1" hidden="1" customWidth="1"/>
    <col min="169" max="169" width="41.85546875" style="1" hidden="1" customWidth="1"/>
    <col min="170" max="192" width="9.140625" style="1" hidden="1" customWidth="1"/>
    <col min="193" max="203" width="9.140625" style="1" customWidth="1"/>
    <col min="204" max="204" width="9.140625" style="1" hidden="1" customWidth="1"/>
    <col min="205" max="412" width="9.140625" style="1" customWidth="1"/>
    <col min="413" max="443" width="2.7109375" style="1" customWidth="1"/>
    <col min="444" max="16384" width="9.140625" style="1"/>
  </cols>
  <sheetData>
    <row r="1" spans="2:178" ht="18" customHeight="1" x14ac:dyDescent="0.25">
      <c r="FC1" s="170" t="s">
        <v>331</v>
      </c>
      <c r="FD1" s="170"/>
      <c r="FE1" s="170"/>
      <c r="FF1" s="170"/>
      <c r="FG1" s="170"/>
      <c r="FH1" s="170"/>
      <c r="FI1" s="170"/>
      <c r="FJ1" s="170"/>
      <c r="FK1" s="170"/>
      <c r="FL1" s="170"/>
      <c r="FM1" s="170"/>
    </row>
    <row r="2" spans="2:178" ht="18" customHeight="1" x14ac:dyDescent="0.25">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5"/>
      <c r="AR2" s="3"/>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5"/>
    </row>
    <row r="3" spans="2:178" ht="18" customHeight="1" x14ac:dyDescent="0.25">
      <c r="B3" s="6"/>
      <c r="AO3" s="7" t="s">
        <v>341</v>
      </c>
      <c r="AP3" s="8"/>
      <c r="AR3" s="6"/>
      <c r="CD3" s="7"/>
      <c r="CF3" s="8"/>
      <c r="EB3" s="61"/>
      <c r="EC3" s="62"/>
      <c r="ED3" s="62"/>
      <c r="FD3" s="1" t="s">
        <v>1</v>
      </c>
      <c r="FG3" s="2" t="s">
        <v>2</v>
      </c>
      <c r="FI3" s="2" t="s">
        <v>3</v>
      </c>
      <c r="FJ3" s="1" t="s">
        <v>326</v>
      </c>
      <c r="FK3" s="2" t="s">
        <v>327</v>
      </c>
      <c r="FL3" s="1" t="s">
        <v>328</v>
      </c>
      <c r="FM3" s="73" t="s">
        <v>329</v>
      </c>
      <c r="FS3" s="1" t="s">
        <v>318</v>
      </c>
    </row>
    <row r="4" spans="2:178" ht="18" customHeight="1" x14ac:dyDescent="0.25">
      <c r="B4" s="6"/>
      <c r="AO4" s="9" t="s">
        <v>4</v>
      </c>
      <c r="AP4" s="8"/>
      <c r="AR4" s="6"/>
      <c r="CD4" s="9"/>
      <c r="CF4" s="8"/>
      <c r="EB4" s="62"/>
      <c r="EC4" s="62"/>
      <c r="ED4" s="62"/>
      <c r="FC4" s="2" t="s">
        <v>5</v>
      </c>
      <c r="FD4" s="2" t="s">
        <v>6</v>
      </c>
      <c r="FE4" s="2" t="s">
        <v>7</v>
      </c>
      <c r="FF4" s="2" t="s">
        <v>8</v>
      </c>
      <c r="FG4" s="2" t="s">
        <v>9</v>
      </c>
      <c r="FI4" s="2" t="s">
        <v>10</v>
      </c>
      <c r="FJ4" s="2" t="s">
        <v>11</v>
      </c>
      <c r="FS4" s="1" t="s">
        <v>330</v>
      </c>
    </row>
    <row r="5" spans="2:178" ht="18" customHeight="1" thickBot="1" x14ac:dyDescent="0.3">
      <c r="B5" s="6"/>
      <c r="AO5" s="9" t="s">
        <v>12</v>
      </c>
      <c r="AP5" s="8"/>
      <c r="AR5" s="6"/>
      <c r="AS5" s="10" t="str">
        <f>H12 &amp; " | " &amp; AE13</f>
        <v>Enter Customer PO #  | Stage 1</v>
      </c>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1"/>
      <c r="CE5" s="10"/>
      <c r="CF5" s="8"/>
      <c r="ES5" s="1" t="s">
        <v>11</v>
      </c>
      <c r="FC5" s="1">
        <v>1</v>
      </c>
      <c r="FD5" s="12" t="str">
        <f>COMPLEX(ROUND(0.0001,6),ROUND(-$AJ$30/FC5,6))</f>
        <v>0.0001-25.916817i</v>
      </c>
      <c r="FE5" s="13" t="str">
        <f>COMPLEX(ROUND(0.000001,6),ROUND(-$AJ$36/FC5,6))</f>
        <v>0.000001-1.079867i</v>
      </c>
      <c r="FF5" s="13" t="str">
        <f>COMPLEX(ROUND($AJ$39/$S$39,6),ROUND($AJ$39*FC5,6))</f>
        <v>0.010799+1.079867i</v>
      </c>
      <c r="FG5" s="14" t="str">
        <f>COMPLEX(ROUND($AJ$45,6),ROUND(0.0001,6))</f>
        <v>10.798674+0.0001i</v>
      </c>
      <c r="FI5" s="1" t="str">
        <f>COMPLEX(ROUND(IMREAL(IMSUM(FF5,FE5)),6),ROUND(IMAGINARY(IMSUM(FF5,FE5)),6))</f>
        <v>0.0108</v>
      </c>
      <c r="FJ5" s="1" t="str">
        <f>COMPLEX(ROUND(IMREAL(IMPRODUCT(FI5,FG5)),6),ROUND(IMAGINARY(IMPRODUCT(FI5,FG5)),6))</f>
        <v>0.116626+0.000001i</v>
      </c>
      <c r="FK5" s="1" t="str">
        <f>COMPLEX(ROUND(IMREAL(IMSUM(FG5,FI5)),6),ROUND(IMAGINARY(IMSUM(FG5,FI5)),6))</f>
        <v>10.809474+0.0001i</v>
      </c>
      <c r="FL5" s="1" t="str">
        <f>COMPLEX(ROUND(IMREAL(IMDIV(FJ5,FK5)),6),ROUND(IMAGINARY(IMDIV(FJ5,FK5)),6))</f>
        <v>0.010789</v>
      </c>
      <c r="FM5" s="1" t="str">
        <f>COMPLEX(ROUND(IMREAL(IMSUM(FL5,FD5)),6),ROUND(IMAGINARY(IMSUM(FL5,FD5)),6))</f>
        <v>0.010889-25.916817i</v>
      </c>
      <c r="FN5" s="1">
        <f t="shared" ref="FN5:FN41" si="0">FC5</f>
        <v>1</v>
      </c>
      <c r="FO5" s="1">
        <f t="shared" ref="FO5:FO41" si="1">IMABS(FM5)</f>
        <v>25.91681928751694</v>
      </c>
      <c r="FS5" s="1" t="s">
        <v>320</v>
      </c>
    </row>
    <row r="6" spans="2:178" ht="18" customHeight="1" thickBot="1" x14ac:dyDescent="0.3">
      <c r="B6" s="6"/>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G6" s="10"/>
      <c r="AH6" s="10"/>
      <c r="AI6" s="10"/>
      <c r="AJ6" s="10"/>
      <c r="AK6" s="10"/>
      <c r="AL6" s="10"/>
      <c r="AM6" s="10"/>
      <c r="AN6" s="10"/>
      <c r="AO6" s="11" t="s">
        <v>13</v>
      </c>
      <c r="AP6" s="8"/>
      <c r="AR6" s="6"/>
      <c r="CD6" s="9"/>
      <c r="CF6" s="8"/>
      <c r="FC6" s="1">
        <f>ROUND(FC5+0.2,1)</f>
        <v>1.2</v>
      </c>
      <c r="FD6" s="12" t="str">
        <f t="shared" ref="FD6:FD69" si="2">COMPLEX(ROUND(0.0001,6),ROUND(-$AJ$30/FC6,6))</f>
        <v>0.0001-21.597347i</v>
      </c>
      <c r="FE6" s="13" t="str">
        <f t="shared" ref="FE6:FE69" si="3">COMPLEX(ROUND(0.000001,6),ROUND(-$AJ$36/FC6,6))</f>
        <v>0.000001-0.899889i</v>
      </c>
      <c r="FF6" s="13" t="str">
        <f t="shared" ref="FF6:FF69" si="4">COMPLEX(ROUND($AJ$39/$S$39,6),ROUND($AJ$39*FC6,6))</f>
        <v>0.010799+1.295841i</v>
      </c>
      <c r="FG6" s="14" t="str">
        <f t="shared" ref="FG6:FG69" si="5">COMPLEX(ROUND($AJ$45,6),ROUND(0.0001,6))</f>
        <v>10.798674+0.0001i</v>
      </c>
      <c r="FI6" s="1" t="str">
        <f t="shared" ref="FI6:FI69" si="6">COMPLEX(ROUND(IMREAL(IMSUM(FF6,FE6)),6),ROUND(IMAGINARY(IMSUM(FF6,FE6)),6))</f>
        <v>0.0108+0.395952i</v>
      </c>
      <c r="FJ6" s="1" t="str">
        <f t="shared" ref="FJ6:FJ69" si="7">COMPLEX(ROUND(IMREAL(IMPRODUCT(FI6,FG6)),6),ROUND(IMAGINARY(IMPRODUCT(FI6,FG6)),6))</f>
        <v>0.116586+4.275758i</v>
      </c>
      <c r="FK6" s="1" t="str">
        <f t="shared" ref="FK6:FK69" si="8">COMPLEX(ROUND(IMREAL(IMSUM(FG6,FI6)),6),ROUND(IMAGINARY(IMSUM(FG6,FI6)),6))</f>
        <v>10.809474+0.396052i</v>
      </c>
      <c r="FL6" s="1" t="str">
        <f t="shared" ref="FL6:FL69" si="9">COMPLEX(ROUND(IMREAL(IMDIV(FJ6,FK6)),6),ROUND(IMAGINARY(IMDIV(FJ6,FK6)),6))</f>
        <v>0.025245+0.394632i</v>
      </c>
      <c r="FM6" s="1" t="str">
        <f t="shared" ref="FM6:FM69" si="10">COMPLEX(ROUND(IMREAL(IMSUM(FL6,FD6)),6),ROUND(IMAGINARY(IMSUM(FL6,FD6)),6))</f>
        <v>0.025345-21.202715i</v>
      </c>
      <c r="FN6" s="1">
        <f t="shared" si="0"/>
        <v>1.2</v>
      </c>
      <c r="FO6" s="1">
        <f t="shared" si="1"/>
        <v>21.202730148267467</v>
      </c>
    </row>
    <row r="7" spans="2:178" ht="18" customHeight="1" x14ac:dyDescent="0.35">
      <c r="B7" s="6"/>
      <c r="C7" s="188" t="s">
        <v>340</v>
      </c>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8"/>
      <c r="AR7" s="6"/>
      <c r="AS7" s="16" t="s">
        <v>15</v>
      </c>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8"/>
      <c r="FC7" s="1">
        <f t="shared" ref="FC7:FC69" si="11">ROUND(FC6+0.2,1)</f>
        <v>1.4</v>
      </c>
      <c r="FD7" s="12" t="str">
        <f t="shared" si="2"/>
        <v>0.0001-18.512012i</v>
      </c>
      <c r="FE7" s="13" t="str">
        <f t="shared" si="3"/>
        <v>0.000001-0.771334i</v>
      </c>
      <c r="FF7" s="13" t="str">
        <f t="shared" si="4"/>
        <v>0.010799+1.511814i</v>
      </c>
      <c r="FG7" s="14" t="str">
        <f t="shared" si="5"/>
        <v>10.798674+0.0001i</v>
      </c>
      <c r="FI7" s="1" t="str">
        <f t="shared" si="6"/>
        <v>0.0108+0.74048i</v>
      </c>
      <c r="FJ7" s="1" t="str">
        <f t="shared" si="7"/>
        <v>0.116552+7.996203i</v>
      </c>
      <c r="FK7" s="1" t="str">
        <f t="shared" si="8"/>
        <v>10.809474+0.74058i</v>
      </c>
      <c r="FL7" s="1" t="str">
        <f t="shared" si="9"/>
        <v>0.061176+0.735549i</v>
      </c>
      <c r="FM7" s="1" t="str">
        <f t="shared" si="10"/>
        <v>0.061276-17.776463i</v>
      </c>
      <c r="FN7" s="1">
        <f t="shared" si="0"/>
        <v>1.4</v>
      </c>
      <c r="FO7" s="1">
        <f t="shared" si="1"/>
        <v>17.776568609789265</v>
      </c>
      <c r="FS7" s="18" t="s">
        <v>222</v>
      </c>
      <c r="FV7" s="1">
        <v>200</v>
      </c>
    </row>
    <row r="8" spans="2:178" ht="18" customHeight="1" x14ac:dyDescent="0.35">
      <c r="B8" s="6"/>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8"/>
      <c r="AR8" s="6"/>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8"/>
      <c r="EE8" s="19"/>
      <c r="FC8" s="1">
        <f t="shared" si="11"/>
        <v>1.6</v>
      </c>
      <c r="FD8" s="12" t="str">
        <f t="shared" si="2"/>
        <v>0.0001-16.19801i</v>
      </c>
      <c r="FE8" s="13" t="str">
        <f t="shared" si="3"/>
        <v>0.000001-0.674917i</v>
      </c>
      <c r="FF8" s="13" t="str">
        <f t="shared" si="4"/>
        <v>0.010799+1.727788i</v>
      </c>
      <c r="FG8" s="14" t="str">
        <f t="shared" si="5"/>
        <v>10.798674+0.0001i</v>
      </c>
      <c r="FI8" s="1" t="str">
        <f t="shared" si="6"/>
        <v>0.0108+1.052871i</v>
      </c>
      <c r="FJ8" s="1" t="str">
        <f t="shared" si="7"/>
        <v>0.11652+11.369612i</v>
      </c>
      <c r="FK8" s="1" t="str">
        <f t="shared" si="8"/>
        <v>10.809474+1.052971i</v>
      </c>
      <c r="FL8" s="1" t="str">
        <f t="shared" si="9"/>
        <v>0.112175+1.040892i</v>
      </c>
      <c r="FM8" s="1" t="str">
        <f t="shared" si="10"/>
        <v>0.112275-15.157118i</v>
      </c>
      <c r="FN8" s="1">
        <f t="shared" si="0"/>
        <v>1.6</v>
      </c>
      <c r="FO8" s="1">
        <f t="shared" si="1"/>
        <v>15.157533827821364</v>
      </c>
    </row>
    <row r="9" spans="2:178" ht="18" customHeight="1" x14ac:dyDescent="0.25">
      <c r="B9" s="20"/>
      <c r="C9" s="16" t="s">
        <v>17</v>
      </c>
      <c r="D9" s="21"/>
      <c r="E9" s="22"/>
      <c r="F9" s="22"/>
      <c r="G9" s="22"/>
      <c r="H9" s="22"/>
      <c r="I9" s="23"/>
      <c r="J9" s="24"/>
      <c r="K9" s="24"/>
      <c r="L9" s="24"/>
      <c r="M9" s="24"/>
      <c r="N9" s="24"/>
      <c r="O9" s="24"/>
      <c r="P9" s="24"/>
      <c r="Q9" s="24"/>
      <c r="R9" s="24"/>
      <c r="S9" s="24"/>
      <c r="T9" s="24"/>
      <c r="U9" s="24"/>
      <c r="V9" s="24"/>
      <c r="W9" s="24"/>
      <c r="X9" s="24"/>
      <c r="Y9" s="24"/>
      <c r="Z9" s="24"/>
      <c r="AA9" s="24"/>
      <c r="AB9" s="24"/>
      <c r="AC9" s="24" t="s">
        <v>11</v>
      </c>
      <c r="AD9" s="24"/>
      <c r="AE9" s="24"/>
      <c r="AG9" s="25"/>
      <c r="AH9" s="25"/>
      <c r="AI9" s="25"/>
      <c r="AJ9" s="25"/>
      <c r="AK9" s="25"/>
      <c r="AL9" s="25"/>
      <c r="AM9" s="25"/>
      <c r="AN9" s="26" t="str">
        <f ca="1">"" &amp; TEXT(TODAY(), "mmmm d, yyyy")</f>
        <v>April 19, 2026</v>
      </c>
      <c r="AO9" s="25"/>
      <c r="AP9" s="8"/>
      <c r="AR9" s="6"/>
      <c r="AS9" s="81" t="s">
        <v>223</v>
      </c>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27"/>
      <c r="FC9" s="1">
        <f t="shared" si="11"/>
        <v>1.8</v>
      </c>
      <c r="FD9" s="12" t="str">
        <f t="shared" si="2"/>
        <v>0.0001-14.398231i</v>
      </c>
      <c r="FE9" s="13" t="str">
        <f t="shared" si="3"/>
        <v>0.000001-0.599926i</v>
      </c>
      <c r="FF9" s="13" t="str">
        <f t="shared" si="4"/>
        <v>0.010799+1.943761i</v>
      </c>
      <c r="FG9" s="14" t="str">
        <f t="shared" si="5"/>
        <v>10.798674+0.0001i</v>
      </c>
      <c r="FI9" s="1" t="str">
        <f t="shared" si="6"/>
        <v>0.0108+1.343835i</v>
      </c>
      <c r="FJ9" s="1" t="str">
        <f t="shared" si="7"/>
        <v>0.116491+14.511637i</v>
      </c>
      <c r="FK9" s="1" t="str">
        <f t="shared" si="8"/>
        <v>10.809474+1.343935i</v>
      </c>
      <c r="FL9" s="1" t="str">
        <f t="shared" si="9"/>
        <v>0.174983+1.320737i</v>
      </c>
      <c r="FM9" s="1" t="str">
        <f t="shared" si="10"/>
        <v>0.175083-13.077494i</v>
      </c>
      <c r="FN9" s="1">
        <f t="shared" si="0"/>
        <v>1.8</v>
      </c>
      <c r="FO9" s="1">
        <f t="shared" si="1"/>
        <v>13.078665963198423</v>
      </c>
    </row>
    <row r="10" spans="2:178" ht="18" customHeight="1" x14ac:dyDescent="0.25">
      <c r="B10" s="6"/>
      <c r="AP10" s="8"/>
      <c r="AR10" s="6"/>
      <c r="BF10" s="115" t="s">
        <v>19</v>
      </c>
      <c r="BG10" s="115"/>
      <c r="BH10" s="115"/>
      <c r="BI10" s="115"/>
      <c r="BJ10" s="115"/>
      <c r="BK10" s="115"/>
      <c r="BL10" s="115"/>
      <c r="BM10" s="115"/>
      <c r="BN10" s="115"/>
      <c r="BO10" s="115"/>
      <c r="BP10" s="115"/>
      <c r="BQ10" s="115"/>
      <c r="BR10" s="115"/>
      <c r="BS10" s="115"/>
      <c r="BT10" s="115"/>
      <c r="CE10" s="24"/>
      <c r="CF10" s="8"/>
      <c r="FC10" s="1">
        <f t="shared" si="11"/>
        <v>2</v>
      </c>
      <c r="FD10" s="12" t="str">
        <f t="shared" si="2"/>
        <v>0.0001-12.958408i</v>
      </c>
      <c r="FE10" s="13" t="str">
        <f t="shared" si="3"/>
        <v>0.000001-0.539934i</v>
      </c>
      <c r="FF10" s="13" t="str">
        <f t="shared" si="4"/>
        <v>0.010799+2.159735i</v>
      </c>
      <c r="FG10" s="14" t="str">
        <f t="shared" si="5"/>
        <v>10.798674+0.0001i</v>
      </c>
      <c r="FI10" s="1" t="str">
        <f t="shared" si="6"/>
        <v>0.0108+1.619801i</v>
      </c>
      <c r="FJ10" s="1" t="str">
        <f t="shared" si="7"/>
        <v>0.116464+17.491704i</v>
      </c>
      <c r="FK10" s="1" t="str">
        <f t="shared" si="8"/>
        <v>10.809474+1.619901i</v>
      </c>
      <c r="FL10" s="1" t="str">
        <f t="shared" si="9"/>
        <v>0.247711+1.581061i</v>
      </c>
      <c r="FM10" s="1" t="str">
        <f t="shared" si="10"/>
        <v>0.247811-11.377347i</v>
      </c>
      <c r="FN10" s="1">
        <f t="shared" si="0"/>
        <v>2</v>
      </c>
      <c r="FO10" s="1">
        <f t="shared" si="1"/>
        <v>11.380045476628379</v>
      </c>
    </row>
    <row r="11" spans="2:178" ht="18" customHeight="1" x14ac:dyDescent="0.25">
      <c r="B11" s="28"/>
      <c r="C11" s="24"/>
      <c r="D11" s="24"/>
      <c r="E11" s="24"/>
      <c r="F11" s="24"/>
      <c r="G11" s="9" t="s">
        <v>20</v>
      </c>
      <c r="H11" s="104" t="s">
        <v>21</v>
      </c>
      <c r="I11" s="104"/>
      <c r="J11" s="104"/>
      <c r="K11" s="104"/>
      <c r="L11" s="104"/>
      <c r="M11" s="104"/>
      <c r="N11" s="104"/>
      <c r="O11" s="104"/>
      <c r="P11" s="104"/>
      <c r="Q11" s="104"/>
      <c r="R11" s="104"/>
      <c r="S11" s="104"/>
      <c r="T11" s="104"/>
      <c r="U11" s="104"/>
      <c r="V11" s="104"/>
      <c r="W11" s="104"/>
      <c r="X11" s="24"/>
      <c r="Y11" s="24"/>
      <c r="Z11" s="24"/>
      <c r="AA11" s="24"/>
      <c r="AC11" s="9" t="s">
        <v>22</v>
      </c>
      <c r="AD11" s="24"/>
      <c r="AE11" s="189" t="s">
        <v>23</v>
      </c>
      <c r="AF11" s="189"/>
      <c r="AG11" s="189"/>
      <c r="AH11" s="189"/>
      <c r="AI11" s="189"/>
      <c r="AJ11" s="189"/>
      <c r="AK11" s="189"/>
      <c r="AL11" s="189"/>
      <c r="AM11" s="189"/>
      <c r="AN11" s="189"/>
      <c r="AO11" s="24"/>
      <c r="AP11" s="8"/>
      <c r="AR11" s="6"/>
      <c r="BF11" s="190" t="s">
        <v>24</v>
      </c>
      <c r="BG11" s="191"/>
      <c r="BH11" s="191"/>
      <c r="BI11" s="191"/>
      <c r="BJ11" s="191"/>
      <c r="BK11" s="191"/>
      <c r="BL11" s="191"/>
      <c r="BN11" s="190" t="s">
        <v>25</v>
      </c>
      <c r="BO11" s="190"/>
      <c r="BP11" s="190"/>
      <c r="BQ11" s="190"/>
      <c r="BR11" s="190"/>
      <c r="BS11" s="190"/>
      <c r="BT11" s="190"/>
      <c r="CE11" s="24"/>
      <c r="CF11" s="8"/>
      <c r="FC11" s="1">
        <f t="shared" si="11"/>
        <v>2.2000000000000002</v>
      </c>
      <c r="FD11" s="12" t="str">
        <f t="shared" si="2"/>
        <v>0.0001-11.780371i</v>
      </c>
      <c r="FE11" s="13" t="str">
        <f t="shared" si="3"/>
        <v>0.000001-0.490849i</v>
      </c>
      <c r="FF11" s="13" t="str">
        <f t="shared" si="4"/>
        <v>0.010799+2.375708i</v>
      </c>
      <c r="FG11" s="14" t="str">
        <f t="shared" si="5"/>
        <v>10.798674+0.0001i</v>
      </c>
      <c r="FI11" s="1" t="str">
        <f t="shared" si="6"/>
        <v>0.0108+1.884859i</v>
      </c>
      <c r="FJ11" s="1" t="str">
        <f t="shared" si="7"/>
        <v>0.116437+20.353979i</v>
      </c>
      <c r="FK11" s="1" t="str">
        <f t="shared" si="8"/>
        <v>10.809474+1.884959i</v>
      </c>
      <c r="FL11" s="1" t="str">
        <f t="shared" si="9"/>
        <v>0.329118+1.825584i</v>
      </c>
      <c r="FM11" s="1" t="str">
        <f t="shared" si="10"/>
        <v>0.329218-9.954787i</v>
      </c>
      <c r="FN11" s="1">
        <f t="shared" si="0"/>
        <v>2.2000000000000002</v>
      </c>
      <c r="FO11" s="1">
        <f t="shared" si="1"/>
        <v>9.9602293501150356</v>
      </c>
    </row>
    <row r="12" spans="2:178" ht="18" customHeight="1" x14ac:dyDescent="0.25">
      <c r="B12" s="28"/>
      <c r="C12" s="24"/>
      <c r="D12" s="24"/>
      <c r="E12" s="24"/>
      <c r="F12" s="24"/>
      <c r="G12" s="9" t="s">
        <v>26</v>
      </c>
      <c r="H12" s="104" t="s">
        <v>27</v>
      </c>
      <c r="I12" s="104"/>
      <c r="J12" s="104"/>
      <c r="K12" s="104"/>
      <c r="L12" s="104"/>
      <c r="M12" s="104"/>
      <c r="N12" s="104"/>
      <c r="O12" s="104"/>
      <c r="P12" s="104"/>
      <c r="Q12" s="104"/>
      <c r="R12" s="104"/>
      <c r="S12" s="104"/>
      <c r="T12" s="104"/>
      <c r="U12" s="104"/>
      <c r="V12" s="104"/>
      <c r="W12" s="104"/>
      <c r="X12" s="24"/>
      <c r="Y12" s="24"/>
      <c r="Z12" s="24"/>
      <c r="AA12" s="24"/>
      <c r="AB12" s="24"/>
      <c r="AC12" s="9" t="s">
        <v>28</v>
      </c>
      <c r="AD12" s="24"/>
      <c r="AE12" s="182" t="s">
        <v>29</v>
      </c>
      <c r="AF12" s="183"/>
      <c r="AG12" s="183"/>
      <c r="AH12" s="183"/>
      <c r="AI12" s="183"/>
      <c r="AJ12" s="183"/>
      <c r="AK12" s="183"/>
      <c r="AL12" s="183"/>
      <c r="AM12" s="183"/>
      <c r="AN12" s="184"/>
      <c r="AO12" s="24"/>
      <c r="AP12" s="8"/>
      <c r="AR12" s="6"/>
      <c r="AT12" s="115" t="s">
        <v>30</v>
      </c>
      <c r="AU12" s="115"/>
      <c r="AV12" s="115"/>
      <c r="AW12" s="115"/>
      <c r="AX12" s="115"/>
      <c r="AY12" s="115"/>
      <c r="AZ12" s="115"/>
      <c r="BA12" s="115"/>
      <c r="BB12" s="115"/>
      <c r="BC12" s="115"/>
      <c r="BD12" s="115"/>
      <c r="BF12" s="115"/>
      <c r="BG12" s="115"/>
      <c r="BH12" s="115"/>
      <c r="BI12" s="115"/>
      <c r="BJ12" s="115"/>
      <c r="BK12" s="115"/>
      <c r="BL12" s="115"/>
      <c r="BN12" s="192"/>
      <c r="BO12" s="192"/>
      <c r="BP12" s="192"/>
      <c r="BQ12" s="192"/>
      <c r="BR12" s="192"/>
      <c r="BS12" s="192"/>
      <c r="BT12" s="192"/>
      <c r="BV12" s="115" t="s">
        <v>31</v>
      </c>
      <c r="BW12" s="115"/>
      <c r="BX12" s="115"/>
      <c r="BY12" s="115"/>
      <c r="BZ12" s="115"/>
      <c r="CE12" s="24"/>
      <c r="CF12" s="8"/>
      <c r="FC12" s="1">
        <f t="shared" si="11"/>
        <v>2.4</v>
      </c>
      <c r="FD12" s="12" t="str">
        <f t="shared" si="2"/>
        <v>0.0001-10.798674i</v>
      </c>
      <c r="FE12" s="13" t="str">
        <f t="shared" si="3"/>
        <v>0.000001-0.449945i</v>
      </c>
      <c r="FF12" s="13" t="str">
        <f t="shared" si="4"/>
        <v>0.010799+2.591682i</v>
      </c>
      <c r="FG12" s="14" t="str">
        <f t="shared" si="5"/>
        <v>10.798674+0.0001i</v>
      </c>
      <c r="FI12" s="1" t="str">
        <f t="shared" si="6"/>
        <v>0.0108+2.141737i</v>
      </c>
      <c r="FJ12" s="1" t="str">
        <f t="shared" si="7"/>
        <v>0.116412+23.127921i</v>
      </c>
      <c r="FK12" s="1" t="str">
        <f t="shared" si="8"/>
        <v>10.809474+2.141837i</v>
      </c>
      <c r="FL12" s="1" t="str">
        <f t="shared" si="9"/>
        <v>0.418296+2.056714i</v>
      </c>
      <c r="FM12" s="1" t="str">
        <f t="shared" si="10"/>
        <v>0.418396-8.74196i</v>
      </c>
      <c r="FN12" s="1">
        <f t="shared" si="0"/>
        <v>2.4</v>
      </c>
      <c r="FO12" s="1">
        <f t="shared" si="1"/>
        <v>8.7519666278166319</v>
      </c>
    </row>
    <row r="13" spans="2:178" ht="18" customHeight="1" x14ac:dyDescent="0.25">
      <c r="B13" s="28"/>
      <c r="C13" s="24"/>
      <c r="D13" s="24"/>
      <c r="E13" s="24"/>
      <c r="F13" s="24"/>
      <c r="G13" s="9" t="s">
        <v>32</v>
      </c>
      <c r="H13" s="104" t="s">
        <v>33</v>
      </c>
      <c r="I13" s="104"/>
      <c r="J13" s="104"/>
      <c r="K13" s="104"/>
      <c r="L13" s="104"/>
      <c r="M13" s="104"/>
      <c r="N13" s="104"/>
      <c r="O13" s="104"/>
      <c r="P13" s="104"/>
      <c r="Q13" s="104"/>
      <c r="R13" s="104"/>
      <c r="S13" s="104"/>
      <c r="T13" s="104"/>
      <c r="U13" s="104"/>
      <c r="V13" s="104"/>
      <c r="W13" s="104"/>
      <c r="X13" s="24"/>
      <c r="Y13" s="24"/>
      <c r="Z13" s="24"/>
      <c r="AA13" s="24"/>
      <c r="AB13" s="24"/>
      <c r="AC13" s="9" t="s">
        <v>34</v>
      </c>
      <c r="AD13" s="24"/>
      <c r="AE13" s="182" t="s">
        <v>35</v>
      </c>
      <c r="AF13" s="183"/>
      <c r="AG13" s="183"/>
      <c r="AH13" s="183"/>
      <c r="AI13" s="183"/>
      <c r="AJ13" s="183"/>
      <c r="AK13" s="183"/>
      <c r="AL13" s="183"/>
      <c r="AM13" s="183"/>
      <c r="AN13" s="184"/>
      <c r="AO13" s="24"/>
      <c r="AP13" s="8"/>
      <c r="AR13" s="6"/>
      <c r="BD13" s="29" t="s">
        <v>36</v>
      </c>
      <c r="BF13" s="180">
        <f>BJ21/(FN262)</f>
        <v>0.72635559078327527</v>
      </c>
      <c r="BG13" s="180"/>
      <c r="BH13" s="180"/>
      <c r="BI13" s="180"/>
      <c r="BJ13" s="180"/>
      <c r="BK13" s="180"/>
      <c r="BL13" s="180"/>
      <c r="BN13" s="178">
        <f>(SQRT(SUM(FE264*1.1*1.1,FF264:FL264)+SUM(FE270:FL270)))/1000/(FN262)</f>
        <v>0.79848571351159259</v>
      </c>
      <c r="BO13" s="178"/>
      <c r="BP13" s="178"/>
      <c r="BQ13" s="178"/>
      <c r="BR13" s="178"/>
      <c r="BS13" s="178"/>
      <c r="BT13" s="178"/>
      <c r="BV13" s="181">
        <f>IF(LEFT(J30,2)="SD",1.1,1.25)</f>
        <v>1.25</v>
      </c>
      <c r="BW13" s="181"/>
      <c r="BX13" s="181"/>
      <c r="BY13" s="181"/>
      <c r="BZ13" s="181"/>
      <c r="CE13" s="24"/>
      <c r="CF13" s="8"/>
      <c r="DW13" s="1" t="s">
        <v>11</v>
      </c>
      <c r="FC13" s="1">
        <f t="shared" si="11"/>
        <v>2.6</v>
      </c>
      <c r="FD13" s="12" t="str">
        <f t="shared" si="2"/>
        <v>0.0001-9.968006i</v>
      </c>
      <c r="FE13" s="13" t="str">
        <f t="shared" si="3"/>
        <v>0.000001-0.415334i</v>
      </c>
      <c r="FF13" s="13" t="str">
        <f t="shared" si="4"/>
        <v>0.010799+2.807655i</v>
      </c>
      <c r="FG13" s="14" t="str">
        <f t="shared" si="5"/>
        <v>10.798674+0.0001i</v>
      </c>
      <c r="FI13" s="1" t="str">
        <f t="shared" si="6"/>
        <v>0.0108+2.392321i</v>
      </c>
      <c r="FJ13" s="1" t="str">
        <f t="shared" si="7"/>
        <v>0.116386+25.833896i</v>
      </c>
      <c r="FK13" s="1" t="str">
        <f t="shared" si="8"/>
        <v>10.809474+2.392421i</v>
      </c>
      <c r="FL13" s="1" t="str">
        <f t="shared" si="9"/>
        <v>0.514518+2.276055i</v>
      </c>
      <c r="FM13" s="1" t="str">
        <f t="shared" si="10"/>
        <v>0.514618-7.691951i</v>
      </c>
      <c r="FN13" s="1">
        <f t="shared" si="0"/>
        <v>2.6</v>
      </c>
      <c r="FO13" s="1">
        <f t="shared" si="1"/>
        <v>7.7091466371009583</v>
      </c>
    </row>
    <row r="14" spans="2:178" ht="18" customHeight="1" x14ac:dyDescent="0.25">
      <c r="B14" s="28"/>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8"/>
      <c r="AR14" s="6"/>
      <c r="BD14" s="29" t="s">
        <v>37</v>
      </c>
      <c r="BF14" s="173">
        <f>BJ22/(FN264)</f>
        <v>0.83373178337070986</v>
      </c>
      <c r="BG14" s="173"/>
      <c r="BH14" s="173"/>
      <c r="BI14" s="173"/>
      <c r="BJ14" s="173"/>
      <c r="BK14" s="173"/>
      <c r="BL14" s="173"/>
      <c r="BN14" s="178">
        <f>BF14+0.1</f>
        <v>0.93373178337070983</v>
      </c>
      <c r="BO14" s="178"/>
      <c r="BP14" s="178"/>
      <c r="BQ14" s="178"/>
      <c r="BR14" s="178"/>
      <c r="BS14" s="178"/>
      <c r="BT14" s="178"/>
      <c r="BV14" s="174">
        <f>IF(LEFT(J30,2)="SD",1.2,1.35)</f>
        <v>1.35</v>
      </c>
      <c r="BW14" s="174"/>
      <c r="BX14" s="174"/>
      <c r="BY14" s="174"/>
      <c r="BZ14" s="174"/>
      <c r="CF14" s="8"/>
      <c r="FC14" s="1">
        <f t="shared" si="11"/>
        <v>2.8</v>
      </c>
      <c r="FD14" s="12" t="str">
        <f t="shared" si="2"/>
        <v>0.0001-9.256006i</v>
      </c>
      <c r="FE14" s="13" t="str">
        <f t="shared" si="3"/>
        <v>0.000001-0.385667i</v>
      </c>
      <c r="FF14" s="13" t="str">
        <f t="shared" si="4"/>
        <v>0.010799+3.023629i</v>
      </c>
      <c r="FG14" s="14" t="str">
        <f t="shared" si="5"/>
        <v>10.798674+0.0001i</v>
      </c>
      <c r="FI14" s="1" t="str">
        <f t="shared" si="6"/>
        <v>0.0108+2.637962i</v>
      </c>
      <c r="FJ14" s="1" t="str">
        <f t="shared" si="7"/>
        <v>0.116362+28.486493i</v>
      </c>
      <c r="FK14" s="1" t="str">
        <f t="shared" si="8"/>
        <v>10.809474+2.638062i</v>
      </c>
      <c r="FL14" s="1" t="str">
        <f t="shared" si="9"/>
        <v>0.61716+2.484708i</v>
      </c>
      <c r="FM14" s="1" t="str">
        <f t="shared" si="10"/>
        <v>0.61726-6.771298i</v>
      </c>
      <c r="FN14" s="1">
        <f t="shared" si="0"/>
        <v>2.8</v>
      </c>
      <c r="FO14" s="1">
        <f t="shared" si="1"/>
        <v>6.7993739794486956</v>
      </c>
    </row>
    <row r="15" spans="2:178" ht="18" customHeight="1" x14ac:dyDescent="0.3">
      <c r="B15" s="6"/>
      <c r="C15" s="30" t="s">
        <v>38</v>
      </c>
      <c r="D15" s="31"/>
      <c r="E15" s="31"/>
      <c r="F15" s="31"/>
      <c r="G15" s="31"/>
      <c r="H15" s="31"/>
      <c r="I15" s="31"/>
      <c r="J15" s="31"/>
      <c r="K15" s="31"/>
      <c r="AP15" s="8"/>
      <c r="AR15" s="6"/>
      <c r="BD15" s="29" t="str">
        <f>"% "&amp;$S$20&amp;"HZ AMPS:"</f>
        <v>% 60HZ AMPS:</v>
      </c>
      <c r="BF15" s="180">
        <f>BJ23/FN265</f>
        <v>0.819361088953244</v>
      </c>
      <c r="BG15" s="180"/>
      <c r="BH15" s="180"/>
      <c r="BI15" s="180"/>
      <c r="BJ15" s="180"/>
      <c r="BK15" s="180"/>
      <c r="BL15" s="180"/>
      <c r="BN15" s="179">
        <f>SQRT(SUM(FE265*1.1*1.1,FF265:FL265,FE271:FL271))/S29/FN265</f>
        <v>0.88393415168248912</v>
      </c>
      <c r="BO15" s="179"/>
      <c r="BP15" s="179"/>
      <c r="BQ15" s="179"/>
      <c r="BR15" s="179"/>
      <c r="BS15" s="179"/>
      <c r="BT15" s="179"/>
      <c r="BV15" s="181">
        <v>1.35</v>
      </c>
      <c r="BW15" s="181"/>
      <c r="BX15" s="181"/>
      <c r="BY15" s="181"/>
      <c r="BZ15" s="181"/>
      <c r="CF15" s="8"/>
      <c r="DY15" s="1" t="s">
        <v>11</v>
      </c>
      <c r="FC15" s="1">
        <f t="shared" si="11"/>
        <v>3</v>
      </c>
      <c r="FD15" s="12" t="str">
        <f t="shared" si="2"/>
        <v>0.0001-8.638939i</v>
      </c>
      <c r="FE15" s="13" t="str">
        <f t="shared" si="3"/>
        <v>0.000001-0.359956i</v>
      </c>
      <c r="FF15" s="13" t="str">
        <f t="shared" si="4"/>
        <v>0.010799+3.239602i</v>
      </c>
      <c r="FG15" s="14" t="str">
        <f t="shared" si="5"/>
        <v>10.798674+0.0001i</v>
      </c>
      <c r="FI15" s="1" t="str">
        <f t="shared" si="6"/>
        <v>0.0108+2.879646i</v>
      </c>
      <c r="FJ15" s="1" t="str">
        <f t="shared" si="7"/>
        <v>0.116338+31.096359i</v>
      </c>
      <c r="FK15" s="1" t="str">
        <f t="shared" si="8"/>
        <v>10.809474+2.879746i</v>
      </c>
      <c r="FL15" s="1" t="str">
        <f t="shared" si="9"/>
        <v>0.725658+2.683447i</v>
      </c>
      <c r="FM15" s="1" t="str">
        <f t="shared" si="10"/>
        <v>0.725758-5.955492i</v>
      </c>
      <c r="FN15" s="1">
        <f t="shared" si="0"/>
        <v>3</v>
      </c>
      <c r="FO15" s="1">
        <f t="shared" si="1"/>
        <v>5.9995507862362496</v>
      </c>
    </row>
    <row r="16" spans="2:178" ht="18" customHeight="1" x14ac:dyDescent="0.25">
      <c r="B16" s="6"/>
      <c r="D16" s="164" t="s">
        <v>39</v>
      </c>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8"/>
      <c r="AR16" s="6"/>
      <c r="BD16" s="29" t="str">
        <f>"% "&amp;$S$20&amp;"HZ KVAR:"</f>
        <v>% 60HZ KVAR:</v>
      </c>
      <c r="BF16" s="173">
        <f>(SUM(FE266:FL266)+SUM(FE272:FL272))/FN266</f>
        <v>0.54645362296372024</v>
      </c>
      <c r="BG16" s="173"/>
      <c r="BH16" s="173"/>
      <c r="BI16" s="173"/>
      <c r="BJ16" s="173"/>
      <c r="BK16" s="173"/>
      <c r="BL16" s="173"/>
      <c r="BN16" s="172">
        <f>(SUM(FE266*1.1*1.1,FF266:FL266)+SUM(FE272:FL272))/FN266</f>
        <v>0.65644061338371629</v>
      </c>
      <c r="BO16" s="172"/>
      <c r="BP16" s="172"/>
      <c r="BQ16" s="172"/>
      <c r="BR16" s="172"/>
      <c r="BS16" s="172"/>
      <c r="BT16" s="172"/>
      <c r="BV16" s="174">
        <v>1.35</v>
      </c>
      <c r="BW16" s="174"/>
      <c r="BX16" s="174"/>
      <c r="BY16" s="174"/>
      <c r="BZ16" s="174"/>
      <c r="CF16" s="8"/>
      <c r="FC16" s="1">
        <f t="shared" si="11"/>
        <v>3.2</v>
      </c>
      <c r="FD16" s="12" t="str">
        <f t="shared" si="2"/>
        <v>0.0001-8.099005i</v>
      </c>
      <c r="FE16" s="13" t="str">
        <f t="shared" si="3"/>
        <v>0.000001-0.337459i</v>
      </c>
      <c r="FF16" s="13" t="str">
        <f t="shared" si="4"/>
        <v>0.010799+3.455576i</v>
      </c>
      <c r="FG16" s="14" t="str">
        <f t="shared" si="5"/>
        <v>10.798674+0.0001i</v>
      </c>
      <c r="FI16" s="1" t="str">
        <f t="shared" si="6"/>
        <v>0.0108+3.118117i</v>
      </c>
      <c r="FJ16" s="1" t="str">
        <f t="shared" si="7"/>
        <v>0.116314+33.67153i</v>
      </c>
      <c r="FK16" s="1" t="str">
        <f t="shared" si="8"/>
        <v>10.809474+3.118217i</v>
      </c>
      <c r="FL16" s="1" t="str">
        <f t="shared" si="9"/>
        <v>0.839489+2.872834i</v>
      </c>
      <c r="FM16" s="1" t="str">
        <f t="shared" si="10"/>
        <v>0.839589-5.226171i</v>
      </c>
      <c r="FN16" s="1">
        <f t="shared" si="0"/>
        <v>3.2</v>
      </c>
      <c r="FO16" s="1">
        <f t="shared" si="1"/>
        <v>5.2931817473200367</v>
      </c>
    </row>
    <row r="17" spans="2:171" ht="18" customHeight="1" x14ac:dyDescent="0.25">
      <c r="B17" s="28"/>
      <c r="C17" s="24"/>
      <c r="D17" s="24"/>
      <c r="E17" s="24"/>
      <c r="F17" s="24"/>
      <c r="G17" s="24"/>
      <c r="H17" s="24"/>
      <c r="I17" s="24"/>
      <c r="J17" s="24"/>
      <c r="K17" s="24"/>
      <c r="L17" s="24"/>
      <c r="M17" s="24"/>
      <c r="N17" s="24"/>
      <c r="O17" s="24"/>
      <c r="P17" s="24"/>
      <c r="Q17" s="24"/>
      <c r="R17" s="32" t="s">
        <v>41</v>
      </c>
      <c r="S17" s="108">
        <v>12.47</v>
      </c>
      <c r="T17" s="108"/>
      <c r="U17" s="108"/>
      <c r="V17" s="33" t="s">
        <v>42</v>
      </c>
      <c r="W17" s="24"/>
      <c r="X17" s="24"/>
      <c r="Y17" s="24"/>
      <c r="Z17" s="24"/>
      <c r="AA17" s="24"/>
      <c r="AB17" s="24"/>
      <c r="AC17" s="24"/>
      <c r="AD17" s="24"/>
      <c r="AE17" s="24"/>
      <c r="AF17" s="24"/>
      <c r="AG17" s="24"/>
      <c r="AH17" s="24"/>
      <c r="AI17" s="24"/>
      <c r="AJ17" s="32" t="s">
        <v>43</v>
      </c>
      <c r="AK17" s="165">
        <f>S17*S17/(S18*0.001)</f>
        <v>25.916816666666673</v>
      </c>
      <c r="AL17" s="165"/>
      <c r="AM17" s="165"/>
      <c r="AN17" s="24" t="s">
        <v>44</v>
      </c>
      <c r="AO17" s="24"/>
      <c r="AP17" s="8"/>
      <c r="AR17" s="6"/>
      <c r="CF17" s="8"/>
      <c r="FC17" s="1">
        <f t="shared" si="11"/>
        <v>3.4</v>
      </c>
      <c r="FD17" s="12" t="str">
        <f t="shared" si="2"/>
        <v>0.0001-7.622593i</v>
      </c>
      <c r="FE17" s="13" t="str">
        <f t="shared" si="3"/>
        <v>0.000001-0.317608i</v>
      </c>
      <c r="FF17" s="13" t="str">
        <f t="shared" si="4"/>
        <v>0.010799+3.671549i</v>
      </c>
      <c r="FG17" s="14" t="str">
        <f t="shared" si="5"/>
        <v>10.798674+0.0001i</v>
      </c>
      <c r="FI17" s="1" t="str">
        <f t="shared" si="6"/>
        <v>0.0108+3.353941i</v>
      </c>
      <c r="FJ17" s="1" t="str">
        <f t="shared" si="7"/>
        <v>0.11629+36.218117i</v>
      </c>
      <c r="FK17" s="1" t="str">
        <f t="shared" si="8"/>
        <v>10.809474+3.354041i</v>
      </c>
      <c r="FL17" s="1" t="str">
        <f t="shared" si="9"/>
        <v>0.958154+3.053287i</v>
      </c>
      <c r="FM17" s="1" t="str">
        <f t="shared" si="10"/>
        <v>0.958254-4.569306i</v>
      </c>
      <c r="FN17" s="1">
        <f t="shared" si="0"/>
        <v>3.4</v>
      </c>
      <c r="FO17" s="1">
        <f t="shared" si="1"/>
        <v>4.6687051791853378</v>
      </c>
    </row>
    <row r="18" spans="2:171" ht="18" customHeight="1" x14ac:dyDescent="0.25">
      <c r="B18" s="28"/>
      <c r="C18" s="24"/>
      <c r="D18" s="24"/>
      <c r="E18" s="89" t="s">
        <v>46</v>
      </c>
      <c r="F18" s="89"/>
      <c r="G18" s="89"/>
      <c r="H18" s="89"/>
      <c r="I18" s="89"/>
      <c r="J18" s="89"/>
      <c r="K18" s="89"/>
      <c r="L18" s="89"/>
      <c r="M18" s="89"/>
      <c r="N18" s="89"/>
      <c r="O18" s="89"/>
      <c r="P18" s="89"/>
      <c r="Q18" s="89"/>
      <c r="R18" s="168"/>
      <c r="S18" s="108">
        <v>6000</v>
      </c>
      <c r="T18" s="108"/>
      <c r="U18" s="108"/>
      <c r="V18" s="36" t="s">
        <v>47</v>
      </c>
      <c r="W18" s="24"/>
      <c r="X18" s="37"/>
      <c r="Y18" s="37"/>
      <c r="Z18" s="37"/>
      <c r="AA18" s="37"/>
      <c r="AB18" s="37"/>
      <c r="AC18" s="37"/>
      <c r="AD18" s="24"/>
      <c r="AE18" s="37"/>
      <c r="AF18" s="37"/>
      <c r="AG18" s="24"/>
      <c r="AH18" s="24"/>
      <c r="AI18" s="24"/>
      <c r="AJ18" s="24"/>
      <c r="AK18" s="24"/>
      <c r="AL18" s="24"/>
      <c r="AM18" s="24"/>
      <c r="AN18" s="24"/>
      <c r="AO18" s="24"/>
      <c r="AP18" s="8"/>
      <c r="AR18" s="6"/>
      <c r="AS18" s="171" t="s">
        <v>224</v>
      </c>
      <c r="AT18" s="171"/>
      <c r="AU18" s="171"/>
      <c r="AV18" s="171"/>
      <c r="AW18" s="171"/>
      <c r="AX18" s="171"/>
      <c r="AY18" s="171"/>
      <c r="AZ18" s="171"/>
      <c r="BA18" s="171"/>
      <c r="BB18" s="171"/>
      <c r="BC18" s="171"/>
      <c r="BD18" s="171"/>
      <c r="BE18" s="171"/>
      <c r="BF18" s="171"/>
      <c r="BG18" s="171"/>
      <c r="BH18" s="171"/>
      <c r="BI18" s="171"/>
      <c r="BJ18" s="165">
        <f>AK20/S29</f>
        <v>55.624829069535664</v>
      </c>
      <c r="BK18" s="165"/>
      <c r="BL18" s="165"/>
      <c r="BM18" s="33" t="s">
        <v>49</v>
      </c>
      <c r="BN18" s="38"/>
      <c r="BO18" s="38"/>
      <c r="BZ18" s="35" t="s">
        <v>50</v>
      </c>
      <c r="CA18" s="216">
        <f>(S28*S28)/AJ28*1000</f>
        <v>129.58408333333335</v>
      </c>
      <c r="CB18" s="216"/>
      <c r="CC18" s="216"/>
      <c r="CD18" s="1" t="s">
        <v>44</v>
      </c>
      <c r="CF18" s="8"/>
      <c r="FC18" s="1">
        <f t="shared" si="11"/>
        <v>3.6</v>
      </c>
      <c r="FD18" s="12" t="str">
        <f t="shared" si="2"/>
        <v>0.0001-7.199116i</v>
      </c>
      <c r="FE18" s="13" t="str">
        <f t="shared" si="3"/>
        <v>0.000001-0.299963i</v>
      </c>
      <c r="FF18" s="13" t="str">
        <f t="shared" si="4"/>
        <v>0.010799+3.887523i</v>
      </c>
      <c r="FG18" s="14" t="str">
        <f t="shared" si="5"/>
        <v>10.798674+0.0001i</v>
      </c>
      <c r="FI18" s="1" t="str">
        <f t="shared" si="6"/>
        <v>0.0108+3.58756i</v>
      </c>
      <c r="FJ18" s="1" t="str">
        <f t="shared" si="7"/>
        <v>0.116267+38.740892i</v>
      </c>
      <c r="FK18" s="1" t="str">
        <f t="shared" si="8"/>
        <v>10.809474+3.58766i</v>
      </c>
      <c r="FL18" s="1" t="str">
        <f t="shared" si="9"/>
        <v>1.081177+3.225134i</v>
      </c>
      <c r="FM18" s="1" t="str">
        <f t="shared" si="10"/>
        <v>1.081277-3.973982i</v>
      </c>
      <c r="FN18" s="1">
        <f t="shared" si="0"/>
        <v>3.6</v>
      </c>
      <c r="FO18" s="1">
        <f t="shared" si="1"/>
        <v>4.118457585923764</v>
      </c>
    </row>
    <row r="19" spans="2:171" ht="18" customHeight="1" x14ac:dyDescent="0.25">
      <c r="B19" s="28"/>
      <c r="C19" s="24"/>
      <c r="D19" s="24"/>
      <c r="E19" s="89" t="s">
        <v>51</v>
      </c>
      <c r="F19" s="89"/>
      <c r="G19" s="89"/>
      <c r="H19" s="89"/>
      <c r="I19" s="89"/>
      <c r="J19" s="89"/>
      <c r="K19" s="89"/>
      <c r="L19" s="89"/>
      <c r="M19" s="89"/>
      <c r="N19" s="89"/>
      <c r="O19" s="89"/>
      <c r="P19" s="89"/>
      <c r="Q19" s="89"/>
      <c r="R19" s="168"/>
      <c r="S19" s="169">
        <v>5</v>
      </c>
      <c r="T19" s="169"/>
      <c r="U19" s="169"/>
      <c r="V19" s="33" t="s">
        <v>52</v>
      </c>
      <c r="W19" s="24"/>
      <c r="X19" s="24"/>
      <c r="Y19" s="24"/>
      <c r="Z19" s="24"/>
      <c r="AA19" s="24"/>
      <c r="AB19" s="24"/>
      <c r="AC19" s="24"/>
      <c r="AD19" s="24"/>
      <c r="AE19" s="24"/>
      <c r="AF19" s="24"/>
      <c r="AG19" s="24"/>
      <c r="AH19" s="24"/>
      <c r="AI19" s="24"/>
      <c r="AJ19" s="32" t="s">
        <v>53</v>
      </c>
      <c r="AK19" s="217">
        <f>S19*S20</f>
        <v>300</v>
      </c>
      <c r="AL19" s="217"/>
      <c r="AM19" s="217"/>
      <c r="AN19" s="24" t="s">
        <v>54</v>
      </c>
      <c r="AO19" s="24"/>
      <c r="AP19" s="8"/>
      <c r="AR19" s="6"/>
      <c r="AS19" s="171" t="s">
        <v>351</v>
      </c>
      <c r="AT19" s="171"/>
      <c r="AU19" s="171"/>
      <c r="AV19" s="171"/>
      <c r="AW19" s="171"/>
      <c r="AX19" s="171"/>
      <c r="AY19" s="171"/>
      <c r="AZ19" s="171"/>
      <c r="BA19" s="171"/>
      <c r="BB19" s="171"/>
      <c r="BC19" s="171"/>
      <c r="BD19" s="171"/>
      <c r="BE19" s="171"/>
      <c r="BF19" s="171"/>
      <c r="BG19" s="171"/>
      <c r="BH19" s="171"/>
      <c r="BI19" s="171"/>
      <c r="BJ19" s="75">
        <f>1.8*BJ18</f>
        <v>100.1246923251642</v>
      </c>
      <c r="BK19" s="75"/>
      <c r="BL19" s="75"/>
      <c r="BM19" s="33" t="s">
        <v>49</v>
      </c>
      <c r="BN19" s="38"/>
      <c r="BO19" s="38"/>
      <c r="BZ19" s="35" t="s">
        <v>56</v>
      </c>
      <c r="CA19" s="216">
        <f>1000*1000/(2*3.1415*$S$20*CA18)</f>
        <v>20.470574397450733</v>
      </c>
      <c r="CB19" s="216"/>
      <c r="CC19" s="216"/>
      <c r="CD19" s="1" t="s">
        <v>57</v>
      </c>
      <c r="CF19" s="8"/>
      <c r="FC19" s="1">
        <f t="shared" si="11"/>
        <v>3.8</v>
      </c>
      <c r="FD19" s="12" t="str">
        <f t="shared" si="2"/>
        <v>0.0001-6.820215i</v>
      </c>
      <c r="FE19" s="13" t="str">
        <f t="shared" si="3"/>
        <v>0.000001-0.284176i</v>
      </c>
      <c r="FF19" s="13" t="str">
        <f t="shared" si="4"/>
        <v>0.010799+4.103496i</v>
      </c>
      <c r="FG19" s="14" t="str">
        <f t="shared" si="5"/>
        <v>10.798674+0.0001i</v>
      </c>
      <c r="FI19" s="1" t="str">
        <f t="shared" si="6"/>
        <v>0.0108+3.81932i</v>
      </c>
      <c r="FJ19" s="1" t="str">
        <f t="shared" si="7"/>
        <v>0.116244+41.243593i</v>
      </c>
      <c r="FK19" s="1" t="str">
        <f t="shared" si="8"/>
        <v>10.809474+3.81942i</v>
      </c>
      <c r="FL19" s="1" t="str">
        <f t="shared" si="9"/>
        <v>1.208095+3.388636i</v>
      </c>
      <c r="FM19" s="1" t="str">
        <f t="shared" si="10"/>
        <v>1.208195-3.431579i</v>
      </c>
      <c r="FN19" s="1">
        <f t="shared" si="0"/>
        <v>3.8</v>
      </c>
      <c r="FO19" s="1">
        <f t="shared" si="1"/>
        <v>3.6380584920072412</v>
      </c>
    </row>
    <row r="20" spans="2:171" ht="18" customHeight="1" x14ac:dyDescent="0.25">
      <c r="B20" s="28"/>
      <c r="C20" s="24"/>
      <c r="D20" s="24"/>
      <c r="E20" s="89" t="s">
        <v>58</v>
      </c>
      <c r="F20" s="89"/>
      <c r="G20" s="89"/>
      <c r="H20" s="89"/>
      <c r="I20" s="89"/>
      <c r="J20" s="89"/>
      <c r="K20" s="89"/>
      <c r="L20" s="89"/>
      <c r="M20" s="89"/>
      <c r="N20" s="89"/>
      <c r="O20" s="89"/>
      <c r="P20" s="89"/>
      <c r="Q20" s="89"/>
      <c r="R20" s="168"/>
      <c r="S20" s="108">
        <v>60</v>
      </c>
      <c r="T20" s="108"/>
      <c r="U20" s="108"/>
      <c r="V20" s="33" t="s">
        <v>59</v>
      </c>
      <c r="W20" s="24"/>
      <c r="X20" s="24"/>
      <c r="Y20" s="24"/>
      <c r="Z20" s="24"/>
      <c r="AA20" s="24"/>
      <c r="AB20" s="24"/>
      <c r="AC20" s="24"/>
      <c r="AD20" s="24"/>
      <c r="AE20" s="24"/>
      <c r="AF20" s="24"/>
      <c r="AG20" s="24"/>
      <c r="AH20" s="24"/>
      <c r="AI20" s="24"/>
      <c r="AJ20" s="32" t="s">
        <v>60</v>
      </c>
      <c r="AK20" s="75">
        <f>1000*0.001*S18/(S17*1.73)</f>
        <v>278.12414534767834</v>
      </c>
      <c r="AL20" s="75"/>
      <c r="AM20" s="75"/>
      <c r="AN20" s="24" t="s">
        <v>49</v>
      </c>
      <c r="AO20" s="24"/>
      <c r="AP20" s="8"/>
      <c r="AR20" s="6"/>
      <c r="AS20" s="89" t="s">
        <v>225</v>
      </c>
      <c r="AT20" s="89"/>
      <c r="AU20" s="89"/>
      <c r="AV20" s="89"/>
      <c r="AW20" s="89"/>
      <c r="AX20" s="89"/>
      <c r="AY20" s="89"/>
      <c r="AZ20" s="89"/>
      <c r="BA20" s="89"/>
      <c r="BB20" s="89"/>
      <c r="BC20" s="89"/>
      <c r="BD20" s="89"/>
      <c r="BE20" s="89"/>
      <c r="BF20" s="89"/>
      <c r="BG20" s="89"/>
      <c r="BH20" s="89"/>
      <c r="BI20" s="89"/>
      <c r="BJ20" s="165">
        <f>AK20*AJ30/1000</f>
        <v>7.208092485549134</v>
      </c>
      <c r="BK20" s="165"/>
      <c r="BL20" s="165"/>
      <c r="BM20" s="166" t="s">
        <v>42</v>
      </c>
      <c r="BN20" s="166"/>
      <c r="BO20" s="166"/>
      <c r="CF20" s="8"/>
      <c r="FC20" s="1">
        <f t="shared" si="11"/>
        <v>4</v>
      </c>
      <c r="FD20" s="12" t="str">
        <f t="shared" si="2"/>
        <v>0.0001-6.479204i</v>
      </c>
      <c r="FE20" s="13" t="str">
        <f t="shared" si="3"/>
        <v>0.000001-0.269967i</v>
      </c>
      <c r="FF20" s="13" t="str">
        <f t="shared" si="4"/>
        <v>0.010799+4.319469i</v>
      </c>
      <c r="FG20" s="14" t="str">
        <f t="shared" si="5"/>
        <v>10.798674+0.0001i</v>
      </c>
      <c r="FI20" s="1" t="str">
        <f t="shared" si="6"/>
        <v>0.0108+4.049502i</v>
      </c>
      <c r="FJ20" s="1" t="str">
        <f t="shared" si="7"/>
        <v>0.116221+43.729253i</v>
      </c>
      <c r="FK20" s="1" t="str">
        <f t="shared" si="8"/>
        <v>10.809474+4.049602i</v>
      </c>
      <c r="FL20" s="1" t="str">
        <f t="shared" si="9"/>
        <v>1.338464+3.544021i</v>
      </c>
      <c r="FM20" s="1" t="str">
        <f t="shared" si="10"/>
        <v>1.338564-2.935183i</v>
      </c>
      <c r="FN20" s="1">
        <f t="shared" si="0"/>
        <v>4</v>
      </c>
      <c r="FO20" s="1">
        <f t="shared" si="1"/>
        <v>3.2259964081791845</v>
      </c>
    </row>
    <row r="21" spans="2:171" ht="18" customHeight="1" x14ac:dyDescent="0.25">
      <c r="B21" s="28"/>
      <c r="C21" s="89" t="s">
        <v>40</v>
      </c>
      <c r="D21" s="89"/>
      <c r="E21" s="89"/>
      <c r="F21" s="89"/>
      <c r="G21" s="89"/>
      <c r="H21" s="89"/>
      <c r="I21" s="89"/>
      <c r="J21" s="89"/>
      <c r="K21" s="89"/>
      <c r="L21" s="89"/>
      <c r="M21" s="89"/>
      <c r="N21" s="89"/>
      <c r="O21" s="89"/>
      <c r="P21" s="89"/>
      <c r="Q21" s="89"/>
      <c r="R21" s="168"/>
      <c r="S21" s="175">
        <v>2</v>
      </c>
      <c r="T21" s="176"/>
      <c r="U21" s="177"/>
      <c r="V21" s="24"/>
      <c r="W21" s="24"/>
      <c r="X21" s="24"/>
      <c r="Y21" s="24"/>
      <c r="Z21" s="24"/>
      <c r="AA21" s="24"/>
      <c r="AB21" s="24"/>
      <c r="AC21" s="24"/>
      <c r="AD21" s="24"/>
      <c r="AE21" s="24"/>
      <c r="AF21" s="24"/>
      <c r="AG21" s="24"/>
      <c r="AH21" s="24"/>
      <c r="AI21" s="24"/>
      <c r="AJ21" s="32" t="s">
        <v>62</v>
      </c>
      <c r="AK21" s="215">
        <f>SQRT(SUM(FE271:FL271,FE265:FL265))</f>
        <v>314.88575741906226</v>
      </c>
      <c r="AL21" s="215"/>
      <c r="AM21" s="215"/>
      <c r="AN21" s="39" t="s">
        <v>49</v>
      </c>
      <c r="AO21" s="24"/>
      <c r="AP21" s="8"/>
      <c r="AR21" s="6"/>
      <c r="AS21" s="89" t="s">
        <v>188</v>
      </c>
      <c r="AT21" s="89"/>
      <c r="AU21" s="89"/>
      <c r="AV21" s="89"/>
      <c r="AW21" s="89"/>
      <c r="AX21" s="89"/>
      <c r="AY21" s="89"/>
      <c r="AZ21" s="89"/>
      <c r="BA21" s="89"/>
      <c r="BB21" s="89"/>
      <c r="BC21" s="89"/>
      <c r="BD21" s="89"/>
      <c r="BE21" s="89"/>
      <c r="BF21" s="89"/>
      <c r="BG21" s="89"/>
      <c r="BH21" s="89"/>
      <c r="BI21" s="89"/>
      <c r="BJ21" s="165">
        <f>(SQRT(SUM(FE264:FL264)+SUM(FE270:FL270)))/1000</f>
        <v>7.2345016842014225</v>
      </c>
      <c r="BK21" s="165"/>
      <c r="BL21" s="165"/>
      <c r="BM21" s="166" t="s">
        <v>42</v>
      </c>
      <c r="BN21" s="166"/>
      <c r="BO21" s="166"/>
      <c r="CF21" s="8"/>
      <c r="FC21" s="1">
        <f t="shared" si="11"/>
        <v>4.2</v>
      </c>
      <c r="FD21" s="12" t="str">
        <f t="shared" si="2"/>
        <v>0.0001-6.170671i</v>
      </c>
      <c r="FE21" s="13" t="str">
        <f t="shared" si="3"/>
        <v>0.000001-0.257111i</v>
      </c>
      <c r="FF21" s="13" t="str">
        <f t="shared" si="4"/>
        <v>0.010799+4.535443i</v>
      </c>
      <c r="FG21" s="14" t="str">
        <f t="shared" si="5"/>
        <v>10.798674+0.0001i</v>
      </c>
      <c r="FI21" s="1" t="str">
        <f t="shared" si="6"/>
        <v>0.0108+4.278332i</v>
      </c>
      <c r="FJ21" s="1" t="str">
        <f t="shared" si="7"/>
        <v>0.116198+46.200314i</v>
      </c>
      <c r="FK21" s="1" t="str">
        <f t="shared" si="8"/>
        <v>10.809474+4.278432i</v>
      </c>
      <c r="FL21" s="1" t="str">
        <f t="shared" si="9"/>
        <v>1.471856+3.691491i</v>
      </c>
      <c r="FM21" s="1" t="str">
        <f t="shared" si="10"/>
        <v>1.471956-2.47918i</v>
      </c>
      <c r="FN21" s="1">
        <f t="shared" si="0"/>
        <v>4.2</v>
      </c>
      <c r="FO21" s="1">
        <f t="shared" si="1"/>
        <v>2.8832252666650935</v>
      </c>
    </row>
    <row r="22" spans="2:171" ht="18" customHeight="1" x14ac:dyDescent="0.25">
      <c r="B22" s="6"/>
      <c r="AP22" s="8"/>
      <c r="AR22" s="6"/>
      <c r="AS22" s="89" t="s">
        <v>189</v>
      </c>
      <c r="AT22" s="89"/>
      <c r="AU22" s="89"/>
      <c r="AV22" s="89"/>
      <c r="AW22" s="89"/>
      <c r="AX22" s="89"/>
      <c r="AY22" s="89"/>
      <c r="AZ22" s="89"/>
      <c r="BA22" s="89"/>
      <c r="BB22" s="89"/>
      <c r="BC22" s="89"/>
      <c r="BD22" s="89"/>
      <c r="BE22" s="89"/>
      <c r="BF22" s="89"/>
      <c r="BG22" s="89"/>
      <c r="BH22" s="89"/>
      <c r="BI22" s="89"/>
      <c r="BJ22" s="124">
        <f>1.414*SUM(N61:Q76)/1000</f>
        <v>11.741811547194391</v>
      </c>
      <c r="BK22" s="124"/>
      <c r="BL22" s="124"/>
      <c r="BM22" s="166" t="s">
        <v>42</v>
      </c>
      <c r="BN22" s="166"/>
      <c r="BO22" s="166"/>
      <c r="CF22" s="8"/>
      <c r="FC22" s="1">
        <f t="shared" si="11"/>
        <v>4.4000000000000004</v>
      </c>
      <c r="FD22" s="12" t="str">
        <f t="shared" si="2"/>
        <v>0.0001-5.890186i</v>
      </c>
      <c r="FE22" s="13" t="str">
        <f t="shared" si="3"/>
        <v>0.000001-0.245424i</v>
      </c>
      <c r="FF22" s="13" t="str">
        <f t="shared" si="4"/>
        <v>0.010799+4.751416i</v>
      </c>
      <c r="FG22" s="14" t="str">
        <f t="shared" si="5"/>
        <v>10.798674+0.0001i</v>
      </c>
      <c r="FI22" s="1" t="str">
        <f t="shared" si="6"/>
        <v>0.0108+4.505992i</v>
      </c>
      <c r="FJ22" s="1" t="str">
        <f t="shared" si="7"/>
        <v>0.116175+48.65874i</v>
      </c>
      <c r="FK22" s="1" t="str">
        <f t="shared" si="8"/>
        <v>10.809474+4.506092i</v>
      </c>
      <c r="FL22" s="1" t="str">
        <f t="shared" si="9"/>
        <v>1.607854+3.831232i</v>
      </c>
      <c r="FM22" s="1" t="str">
        <f t="shared" si="10"/>
        <v>1.607954-2.058954i</v>
      </c>
      <c r="FN22" s="1">
        <f t="shared" si="0"/>
        <v>4.4000000000000004</v>
      </c>
      <c r="FO22" s="1">
        <f t="shared" si="1"/>
        <v>2.6124332795751934</v>
      </c>
    </row>
    <row r="23" spans="2:171" ht="18" customHeight="1" x14ac:dyDescent="0.25">
      <c r="B23" s="6"/>
      <c r="C23" s="164" t="s">
        <v>65</v>
      </c>
      <c r="D23" s="164"/>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8"/>
      <c r="AR23" s="6"/>
      <c r="AS23" s="89" t="s">
        <v>226</v>
      </c>
      <c r="AT23" s="89"/>
      <c r="AU23" s="89"/>
      <c r="AV23" s="89"/>
      <c r="AW23" s="89"/>
      <c r="AX23" s="89"/>
      <c r="AY23" s="89"/>
      <c r="AZ23" s="89"/>
      <c r="BA23" s="89"/>
      <c r="BB23" s="89"/>
      <c r="BC23" s="89"/>
      <c r="BD23" s="89"/>
      <c r="BE23" s="89"/>
      <c r="BF23" s="89"/>
      <c r="BG23" s="89"/>
      <c r="BH23" s="89"/>
      <c r="BI23" s="89"/>
      <c r="BJ23" s="165">
        <f>SQRT(SUM(FE265:FL265,FE271:FL271))/S29</f>
        <v>62.977151483812449</v>
      </c>
      <c r="BK23" s="165"/>
      <c r="BL23" s="165"/>
      <c r="BM23" s="166" t="s">
        <v>49</v>
      </c>
      <c r="BN23" s="166"/>
      <c r="BO23" s="166"/>
      <c r="BX23"/>
      <c r="CF23" s="8"/>
      <c r="FC23" s="1">
        <f t="shared" si="11"/>
        <v>4.5999999999999996</v>
      </c>
      <c r="FD23" s="12" t="str">
        <f t="shared" si="2"/>
        <v>0.0001-5.634091i</v>
      </c>
      <c r="FE23" s="13" t="str">
        <f t="shared" si="3"/>
        <v>0.000001-0.234754i</v>
      </c>
      <c r="FF23" s="13" t="str">
        <f t="shared" si="4"/>
        <v>0.010799+4.96739i</v>
      </c>
      <c r="FG23" s="14" t="str">
        <f t="shared" si="5"/>
        <v>10.798674+0.0001i</v>
      </c>
      <c r="FI23" s="1" t="str">
        <f t="shared" si="6"/>
        <v>0.0108+4.732636i</v>
      </c>
      <c r="FJ23" s="1" t="str">
        <f t="shared" si="7"/>
        <v>0.116152+51.106194i</v>
      </c>
      <c r="FK23" s="1" t="str">
        <f t="shared" si="8"/>
        <v>10.809474+4.732736i</v>
      </c>
      <c r="FL23" s="1" t="str">
        <f t="shared" si="9"/>
        <v>1.746061+3.963426i</v>
      </c>
      <c r="FM23" s="1" t="str">
        <f t="shared" si="10"/>
        <v>1.746161-1.670665i</v>
      </c>
      <c r="FN23" s="1">
        <f t="shared" si="0"/>
        <v>4.5999999999999996</v>
      </c>
      <c r="FO23" s="1">
        <f t="shared" si="1"/>
        <v>2.4166505291717297</v>
      </c>
    </row>
    <row r="24" spans="2:171" ht="18" customHeight="1" x14ac:dyDescent="0.25">
      <c r="B24" s="6"/>
      <c r="C24" s="160" t="s">
        <v>67</v>
      </c>
      <c r="D24" s="160"/>
      <c r="E24" s="160"/>
      <c r="F24" s="160"/>
      <c r="G24" s="160"/>
      <c r="H24" s="160"/>
      <c r="I24" s="161"/>
      <c r="J24" s="162">
        <v>1</v>
      </c>
      <c r="K24" s="163"/>
      <c r="L24" s="152">
        <v>2</v>
      </c>
      <c r="M24" s="153"/>
      <c r="N24" s="152">
        <v>3</v>
      </c>
      <c r="O24" s="153"/>
      <c r="P24" s="152">
        <v>4</v>
      </c>
      <c r="Q24" s="153"/>
      <c r="R24" s="152">
        <v>5</v>
      </c>
      <c r="S24" s="153"/>
      <c r="T24" s="152">
        <v>7</v>
      </c>
      <c r="U24" s="153"/>
      <c r="V24" s="152">
        <v>11</v>
      </c>
      <c r="W24" s="153"/>
      <c r="X24" s="152">
        <v>13</v>
      </c>
      <c r="Y24" s="153"/>
      <c r="Z24" s="152">
        <v>17</v>
      </c>
      <c r="AA24" s="153"/>
      <c r="AB24" s="152">
        <v>19</v>
      </c>
      <c r="AC24" s="153"/>
      <c r="AD24" s="152">
        <v>23</v>
      </c>
      <c r="AE24" s="153"/>
      <c r="AF24" s="152">
        <v>25</v>
      </c>
      <c r="AG24" s="153"/>
      <c r="AH24" s="152">
        <v>29</v>
      </c>
      <c r="AI24" s="153"/>
      <c r="AJ24" s="152">
        <v>31</v>
      </c>
      <c r="AK24" s="153"/>
      <c r="AL24" s="152">
        <v>35</v>
      </c>
      <c r="AM24" s="153"/>
      <c r="AN24" s="152">
        <v>37</v>
      </c>
      <c r="AO24" s="154"/>
      <c r="AP24" s="8"/>
      <c r="AR24" s="6"/>
      <c r="AS24" s="89" t="s">
        <v>227</v>
      </c>
      <c r="AT24" s="89"/>
      <c r="AU24" s="89"/>
      <c r="AV24" s="89"/>
      <c r="AW24" s="89"/>
      <c r="AX24" s="89"/>
      <c r="AY24" s="89"/>
      <c r="AZ24" s="89"/>
      <c r="BA24" s="89"/>
      <c r="BB24" s="89"/>
      <c r="BC24" s="89"/>
      <c r="BD24" s="89"/>
      <c r="BE24" s="89"/>
      <c r="BF24" s="89"/>
      <c r="BG24" s="89"/>
      <c r="BH24" s="89"/>
      <c r="BI24" s="89"/>
      <c r="BJ24" s="124">
        <f>1*(SUM(FE266:FL266)+SUM(FE272:FL272))</f>
        <v>2091.6563334539337</v>
      </c>
      <c r="BK24" s="124"/>
      <c r="BL24" s="124"/>
      <c r="BM24" s="166" t="s">
        <v>47</v>
      </c>
      <c r="BN24" s="166"/>
      <c r="BO24" s="166"/>
      <c r="CF24" s="8"/>
      <c r="FC24" s="1">
        <f t="shared" si="11"/>
        <v>4.8</v>
      </c>
      <c r="FD24" s="12" t="str">
        <f t="shared" si="2"/>
        <v>0.0001-5.399337i</v>
      </c>
      <c r="FE24" s="13" t="str">
        <f t="shared" si="3"/>
        <v>0.000001-0.224972i</v>
      </c>
      <c r="FF24" s="13" t="str">
        <f t="shared" si="4"/>
        <v>0.010799+5.183363i</v>
      </c>
      <c r="FG24" s="14" t="str">
        <f t="shared" si="5"/>
        <v>10.798674+0.0001i</v>
      </c>
      <c r="FI24" s="1" t="str">
        <f t="shared" si="6"/>
        <v>0.0108+4.958391i</v>
      </c>
      <c r="FJ24" s="1" t="str">
        <f t="shared" si="7"/>
        <v>0.11613+53.544049i</v>
      </c>
      <c r="FK24" s="1" t="str">
        <f t="shared" si="8"/>
        <v>10.809474+4.958491i</v>
      </c>
      <c r="FL24" s="1" t="str">
        <f t="shared" si="9"/>
        <v>1.886095+4.088253i</v>
      </c>
      <c r="FM24" s="1" t="str">
        <f t="shared" si="10"/>
        <v>1.886195-1.311084i</v>
      </c>
      <c r="FN24" s="1">
        <f t="shared" si="0"/>
        <v>4.8</v>
      </c>
      <c r="FO24" s="1">
        <f t="shared" si="1"/>
        <v>2.2971009627530523</v>
      </c>
    </row>
    <row r="25" spans="2:171" ht="18" customHeight="1" x14ac:dyDescent="0.35">
      <c r="B25" s="6"/>
      <c r="C25" s="160" t="s">
        <v>69</v>
      </c>
      <c r="D25" s="160"/>
      <c r="E25" s="160"/>
      <c r="F25" s="160"/>
      <c r="G25" s="160"/>
      <c r="H25" s="160"/>
      <c r="I25" s="161"/>
      <c r="J25" s="162">
        <f>AK20</f>
        <v>278.12414534767834</v>
      </c>
      <c r="K25" s="163"/>
      <c r="L25" s="152">
        <v>0</v>
      </c>
      <c r="M25" s="153"/>
      <c r="N25" s="152">
        <v>0</v>
      </c>
      <c r="O25" s="153"/>
      <c r="P25" s="152">
        <v>0</v>
      </c>
      <c r="Q25" s="153"/>
      <c r="R25" s="152">
        <v>100</v>
      </c>
      <c r="S25" s="153"/>
      <c r="T25" s="152">
        <v>80</v>
      </c>
      <c r="U25" s="153"/>
      <c r="V25" s="152">
        <v>60</v>
      </c>
      <c r="W25" s="153"/>
      <c r="X25" s="152">
        <v>30</v>
      </c>
      <c r="Y25" s="153"/>
      <c r="Z25" s="152">
        <v>20</v>
      </c>
      <c r="AA25" s="153"/>
      <c r="AB25" s="152">
        <v>10</v>
      </c>
      <c r="AC25" s="153"/>
      <c r="AD25" s="152">
        <v>10</v>
      </c>
      <c r="AE25" s="153"/>
      <c r="AF25" s="152">
        <v>10</v>
      </c>
      <c r="AG25" s="153"/>
      <c r="AH25" s="152">
        <v>0</v>
      </c>
      <c r="AI25" s="153"/>
      <c r="AJ25" s="152">
        <v>0</v>
      </c>
      <c r="AK25" s="153"/>
      <c r="AL25" s="152">
        <v>10</v>
      </c>
      <c r="AM25" s="153"/>
      <c r="AN25" s="152">
        <v>10</v>
      </c>
      <c r="AO25" s="154"/>
      <c r="AP25" s="8"/>
      <c r="AR25" s="6"/>
      <c r="CF25" s="8"/>
      <c r="FC25" s="1">
        <f t="shared" si="11"/>
        <v>5</v>
      </c>
      <c r="FD25" s="12" t="str">
        <f t="shared" si="2"/>
        <v>0.0001-5.183363i</v>
      </c>
      <c r="FE25" s="13" t="str">
        <f t="shared" si="3"/>
        <v>0.000001-0.215973i</v>
      </c>
      <c r="FF25" s="13" t="str">
        <f t="shared" si="4"/>
        <v>0.010799+5.399337i</v>
      </c>
      <c r="FG25" s="14" t="str">
        <f t="shared" si="5"/>
        <v>10.798674+0.0001i</v>
      </c>
      <c r="FI25" s="1" t="str">
        <f t="shared" si="6"/>
        <v>0.0108+5.183364i</v>
      </c>
      <c r="FJ25" s="1" t="str">
        <f t="shared" si="7"/>
        <v>0.116107+55.973459i</v>
      </c>
      <c r="FK25" s="1" t="str">
        <f t="shared" si="8"/>
        <v>10.809474+5.183464i</v>
      </c>
      <c r="FL25" s="1" t="str">
        <f t="shared" si="9"/>
        <v>2.027593+4.205894i</v>
      </c>
      <c r="FM25" s="1" t="str">
        <f t="shared" si="10"/>
        <v>2.027693-0.977469i</v>
      </c>
      <c r="FN25" s="1">
        <f t="shared" si="0"/>
        <v>5</v>
      </c>
      <c r="FO25" s="1">
        <f t="shared" si="1"/>
        <v>2.250996345667847</v>
      </c>
    </row>
    <row r="26" spans="2:171" ht="18" customHeight="1" x14ac:dyDescent="0.25">
      <c r="B26" s="6"/>
      <c r="AP26" s="8"/>
      <c r="AR26" s="6"/>
      <c r="AS26" s="81" t="s">
        <v>335</v>
      </c>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27"/>
      <c r="FC26" s="1">
        <f t="shared" si="11"/>
        <v>5.2</v>
      </c>
      <c r="FD26" s="12" t="str">
        <f t="shared" si="2"/>
        <v>0.0001-4.984003i</v>
      </c>
      <c r="FE26" s="13" t="str">
        <f t="shared" si="3"/>
        <v>0.000001-0.207667i</v>
      </c>
      <c r="FF26" s="13" t="str">
        <f t="shared" si="4"/>
        <v>0.010799+5.61531i</v>
      </c>
      <c r="FG26" s="14" t="str">
        <f t="shared" si="5"/>
        <v>10.798674+0.0001i</v>
      </c>
      <c r="FI26" s="1" t="str">
        <f t="shared" si="6"/>
        <v>0.0108+5.407643i</v>
      </c>
      <c r="FJ26" s="1" t="str">
        <f t="shared" si="7"/>
        <v>0.116085+58.395375i</v>
      </c>
      <c r="FK26" s="1" t="str">
        <f t="shared" si="8"/>
        <v>10.809474+5.407743i</v>
      </c>
      <c r="FL26" s="1" t="str">
        <f t="shared" si="9"/>
        <v>2.170206+4.316534i</v>
      </c>
      <c r="FM26" s="1" t="str">
        <f t="shared" si="10"/>
        <v>2.170306-0.667469i</v>
      </c>
      <c r="FN26" s="1">
        <f t="shared" si="0"/>
        <v>5.2</v>
      </c>
      <c r="FO26" s="1">
        <f t="shared" si="1"/>
        <v>2.2706261250141999</v>
      </c>
    </row>
    <row r="27" spans="2:171" ht="18" customHeight="1" x14ac:dyDescent="0.25">
      <c r="B27" s="6"/>
      <c r="C27" s="81" t="s">
        <v>228</v>
      </c>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
      <c r="AR27" s="6"/>
      <c r="BF27" s="115" t="s">
        <v>19</v>
      </c>
      <c r="BG27" s="115"/>
      <c r="BH27" s="115"/>
      <c r="BI27" s="115"/>
      <c r="BJ27" s="115"/>
      <c r="BK27" s="115"/>
      <c r="BL27" s="115"/>
      <c r="BM27" s="115"/>
      <c r="BN27" s="115"/>
      <c r="BO27" s="115"/>
      <c r="BP27" s="115"/>
      <c r="BQ27" s="115"/>
      <c r="BR27" s="115"/>
      <c r="BS27" s="115"/>
      <c r="BT27" s="115"/>
      <c r="CE27" s="24"/>
      <c r="CF27" s="8"/>
      <c r="FC27" s="1">
        <f t="shared" si="11"/>
        <v>5.4</v>
      </c>
      <c r="FD27" s="12" t="str">
        <f t="shared" si="2"/>
        <v>0.0001-4.79941i</v>
      </c>
      <c r="FE27" s="13" t="str">
        <f t="shared" si="3"/>
        <v>0.000001-0.199975i</v>
      </c>
      <c r="FF27" s="13" t="str">
        <f t="shared" si="4"/>
        <v>0.010799+5.831284i</v>
      </c>
      <c r="FG27" s="14" t="str">
        <f t="shared" si="5"/>
        <v>10.798674+0.0001i</v>
      </c>
      <c r="FI27" s="1" t="str">
        <f t="shared" si="6"/>
        <v>0.0108+5.631309i</v>
      </c>
      <c r="FJ27" s="1" t="str">
        <f t="shared" si="7"/>
        <v>0.116063+60.810671i</v>
      </c>
      <c r="FK27" s="1" t="str">
        <f t="shared" si="8"/>
        <v>10.809474+5.631409i</v>
      </c>
      <c r="FL27" s="1" t="str">
        <f t="shared" si="9"/>
        <v>2.313612+4.420361i</v>
      </c>
      <c r="FM27" s="1" t="str">
        <f t="shared" si="10"/>
        <v>2.313712-0.379049i</v>
      </c>
      <c r="FN27" s="1">
        <f t="shared" si="0"/>
        <v>5.4</v>
      </c>
      <c r="FO27" s="1">
        <f t="shared" si="1"/>
        <v>2.3445556856993184</v>
      </c>
    </row>
    <row r="28" spans="2:171" ht="18" customHeight="1" x14ac:dyDescent="0.35">
      <c r="B28" s="155" t="s">
        <v>229</v>
      </c>
      <c r="C28" s="113"/>
      <c r="D28" s="113"/>
      <c r="E28" s="113"/>
      <c r="F28" s="113"/>
      <c r="G28" s="113"/>
      <c r="H28" s="113"/>
      <c r="I28" s="113"/>
      <c r="J28" s="113"/>
      <c r="K28" s="113"/>
      <c r="L28" s="113"/>
      <c r="M28" s="113"/>
      <c r="N28" s="113"/>
      <c r="O28" s="113"/>
      <c r="P28" s="113"/>
      <c r="Q28" s="113"/>
      <c r="R28" s="156"/>
      <c r="S28" s="212">
        <v>9.9600000000000009</v>
      </c>
      <c r="T28" s="213"/>
      <c r="U28" s="214"/>
      <c r="V28" s="1" t="s">
        <v>42</v>
      </c>
      <c r="AI28" s="29" t="s">
        <v>72</v>
      </c>
      <c r="AJ28" s="107">
        <f>AJ29/S29</f>
        <v>765.53846312143537</v>
      </c>
      <c r="AK28" s="107"/>
      <c r="AL28" s="107"/>
      <c r="AM28" s="1" t="s">
        <v>47</v>
      </c>
      <c r="AP28" s="8"/>
      <c r="AR28" s="6"/>
      <c r="BF28" s="190" t="s">
        <v>24</v>
      </c>
      <c r="BG28" s="191"/>
      <c r="BH28" s="191"/>
      <c r="BI28" s="191"/>
      <c r="BJ28" s="191"/>
      <c r="BK28" s="191"/>
      <c r="BL28" s="191"/>
      <c r="BN28" s="190" t="s">
        <v>25</v>
      </c>
      <c r="BO28" s="190"/>
      <c r="BP28" s="190"/>
      <c r="BQ28" s="190"/>
      <c r="BR28" s="190"/>
      <c r="BS28" s="190"/>
      <c r="BT28" s="190"/>
      <c r="CE28" s="24"/>
      <c r="CF28" s="8"/>
      <c r="FC28" s="1">
        <f t="shared" si="11"/>
        <v>5.6</v>
      </c>
      <c r="FD28" s="12" t="str">
        <f t="shared" si="2"/>
        <v>0.0001-4.628003i</v>
      </c>
      <c r="FE28" s="13" t="str">
        <f t="shared" si="3"/>
        <v>0.000001-0.192833i</v>
      </c>
      <c r="FF28" s="13" t="str">
        <f t="shared" si="4"/>
        <v>0.010799+6.047257i</v>
      </c>
      <c r="FG28" s="14" t="str">
        <f t="shared" si="5"/>
        <v>10.798674+0.0001i</v>
      </c>
      <c r="FI28" s="1" t="str">
        <f t="shared" si="6"/>
        <v>0.0108+5.854424i</v>
      </c>
      <c r="FJ28" s="1" t="str">
        <f t="shared" si="7"/>
        <v>0.11604+63.220017i</v>
      </c>
      <c r="FK28" s="1" t="str">
        <f t="shared" si="8"/>
        <v>10.809474+5.854524i</v>
      </c>
      <c r="FL28" s="1" t="str">
        <f t="shared" si="9"/>
        <v>2.457497+4.517569i</v>
      </c>
      <c r="FM28" s="1" t="str">
        <f t="shared" si="10"/>
        <v>2.457597-0.110434i</v>
      </c>
      <c r="FN28" s="1">
        <f t="shared" si="0"/>
        <v>5.6</v>
      </c>
      <c r="FO28" s="1">
        <f t="shared" si="1"/>
        <v>2.4600769668376232</v>
      </c>
    </row>
    <row r="29" spans="2:171" ht="18" customHeight="1" x14ac:dyDescent="0.35">
      <c r="B29" s="146" t="s">
        <v>230</v>
      </c>
      <c r="C29" s="119"/>
      <c r="D29" s="119"/>
      <c r="E29" s="119"/>
      <c r="F29" s="119"/>
      <c r="G29" s="119"/>
      <c r="H29" s="119"/>
      <c r="I29" s="119"/>
      <c r="J29" s="119"/>
      <c r="K29" s="119"/>
      <c r="L29" s="119"/>
      <c r="M29" s="119"/>
      <c r="N29" s="119"/>
      <c r="O29" s="119"/>
      <c r="P29" s="119"/>
      <c r="Q29" s="119"/>
      <c r="R29" s="147"/>
      <c r="S29" s="152">
        <v>5</v>
      </c>
      <c r="T29" s="153"/>
      <c r="U29" s="154"/>
      <c r="AI29" s="35" t="s">
        <v>231</v>
      </c>
      <c r="AJ29" s="107">
        <f>1000*(S28*S28)/AJ30</f>
        <v>3827.6923156071766</v>
      </c>
      <c r="AK29" s="107"/>
      <c r="AL29" s="107"/>
      <c r="AM29" s="1" t="s">
        <v>47</v>
      </c>
      <c r="AP29" s="8"/>
      <c r="AR29" s="6"/>
      <c r="AT29" s="115" t="s">
        <v>30</v>
      </c>
      <c r="AU29" s="115"/>
      <c r="AV29" s="115"/>
      <c r="AW29" s="115"/>
      <c r="AX29" s="115"/>
      <c r="AY29" s="115"/>
      <c r="AZ29" s="115"/>
      <c r="BA29" s="115"/>
      <c r="BB29" s="115"/>
      <c r="BC29" s="115"/>
      <c r="BD29" s="115"/>
      <c r="BF29" s="115"/>
      <c r="BG29" s="115"/>
      <c r="BH29" s="115"/>
      <c r="BI29" s="115"/>
      <c r="BJ29" s="115"/>
      <c r="BK29" s="115"/>
      <c r="BL29" s="115"/>
      <c r="BN29" s="192"/>
      <c r="BO29" s="192"/>
      <c r="BP29" s="192"/>
      <c r="BQ29" s="192"/>
      <c r="BR29" s="192"/>
      <c r="BS29" s="192"/>
      <c r="BT29" s="192"/>
      <c r="BV29" s="115" t="s">
        <v>31</v>
      </c>
      <c r="BW29" s="115"/>
      <c r="BX29" s="115"/>
      <c r="BY29" s="115"/>
      <c r="BZ29" s="115"/>
      <c r="CE29" s="24"/>
      <c r="CF29" s="8"/>
      <c r="FC29" s="1">
        <f t="shared" si="11"/>
        <v>5.8</v>
      </c>
      <c r="FD29" s="12" t="str">
        <f t="shared" si="2"/>
        <v>0.0001-4.468417i</v>
      </c>
      <c r="FE29" s="13" t="str">
        <f t="shared" si="3"/>
        <v>0.000001-0.186184i</v>
      </c>
      <c r="FF29" s="13" t="str">
        <f t="shared" si="4"/>
        <v>0.010799+6.263231i</v>
      </c>
      <c r="FG29" s="14" t="str">
        <f t="shared" si="5"/>
        <v>10.798674+0.0001i</v>
      </c>
      <c r="FI29" s="1" t="str">
        <f t="shared" si="6"/>
        <v>0.0108+6.077047i</v>
      </c>
      <c r="FJ29" s="1" t="str">
        <f t="shared" si="7"/>
        <v>0.116018+65.624051i</v>
      </c>
      <c r="FK29" s="1" t="str">
        <f t="shared" si="8"/>
        <v>10.809474+6.077147i</v>
      </c>
      <c r="FL29" s="1" t="str">
        <f t="shared" si="9"/>
        <v>2.601576+4.608355i</v>
      </c>
      <c r="FM29" s="1" t="str">
        <f t="shared" si="10"/>
        <v>2.601676+0.139938i</v>
      </c>
      <c r="FN29" s="1">
        <f t="shared" si="0"/>
        <v>5.8</v>
      </c>
      <c r="FO29" s="1">
        <f t="shared" si="1"/>
        <v>2.6054367489578403</v>
      </c>
    </row>
    <row r="30" spans="2:171" ht="18" customHeight="1" x14ac:dyDescent="0.35">
      <c r="B30" s="6"/>
      <c r="J30" s="88" t="s">
        <v>330</v>
      </c>
      <c r="K30" s="88"/>
      <c r="L30" s="88"/>
      <c r="M30" s="88"/>
      <c r="N30" s="88"/>
      <c r="O30" s="88"/>
      <c r="P30" s="88"/>
      <c r="Q30" s="88"/>
      <c r="R30" s="88"/>
      <c r="S30" s="88"/>
      <c r="T30" s="88"/>
      <c r="U30" s="88"/>
      <c r="AI30" s="35" t="s">
        <v>232</v>
      </c>
      <c r="AJ30" s="78">
        <f>AK17</f>
        <v>25.916816666666673</v>
      </c>
      <c r="AK30" s="78"/>
      <c r="AL30" s="78"/>
      <c r="AM30" s="1" t="s">
        <v>44</v>
      </c>
      <c r="AP30" s="8"/>
      <c r="AR30" s="6"/>
      <c r="BD30" s="29" t="s">
        <v>36</v>
      </c>
      <c r="BF30" s="180">
        <f>BJ38/(FE256)</f>
        <v>0.30117080235048066</v>
      </c>
      <c r="BG30" s="180"/>
      <c r="BH30" s="180"/>
      <c r="BI30" s="180"/>
      <c r="BJ30" s="180"/>
      <c r="BK30" s="180"/>
      <c r="BL30" s="180"/>
      <c r="BN30" s="178">
        <f>SQRT(SUM(FE287*1.1*1.1,FF287:FT287))/1000/(FE256)</f>
        <v>0.33112891992925669</v>
      </c>
      <c r="BO30" s="178"/>
      <c r="BP30" s="178"/>
      <c r="BQ30" s="178"/>
      <c r="BR30" s="178"/>
      <c r="BS30" s="178"/>
      <c r="BT30" s="178"/>
      <c r="BV30" s="181">
        <f>IF(LEFT(J36,2)="SD",1.1,1.25)</f>
        <v>1.25</v>
      </c>
      <c r="BW30" s="181"/>
      <c r="BX30" s="181"/>
      <c r="BY30" s="181"/>
      <c r="BZ30" s="181"/>
      <c r="CF30" s="8"/>
      <c r="FC30" s="1">
        <f t="shared" si="11"/>
        <v>6</v>
      </c>
      <c r="FD30" s="12" t="str">
        <f t="shared" si="2"/>
        <v>0.0001-4.319469i</v>
      </c>
      <c r="FE30" s="13" t="str">
        <f t="shared" si="3"/>
        <v>0.000001-0.179978i</v>
      </c>
      <c r="FF30" s="13" t="str">
        <f t="shared" si="4"/>
        <v>0.010799+6.479204i</v>
      </c>
      <c r="FG30" s="14" t="str">
        <f t="shared" si="5"/>
        <v>10.798674+0.0001i</v>
      </c>
      <c r="FI30" s="1" t="str">
        <f t="shared" si="6"/>
        <v>0.0108+6.299226i</v>
      </c>
      <c r="FJ30" s="1" t="str">
        <f t="shared" si="7"/>
        <v>0.115996+68.023289i</v>
      </c>
      <c r="FK30" s="1" t="str">
        <f t="shared" si="8"/>
        <v>10.809474+6.299326i</v>
      </c>
      <c r="FL30" s="1" t="str">
        <f t="shared" si="9"/>
        <v>2.745576+4.692921i</v>
      </c>
      <c r="FM30" s="1" t="str">
        <f t="shared" si="10"/>
        <v>2.745676+0.373452i</v>
      </c>
      <c r="FN30" s="1">
        <f t="shared" si="0"/>
        <v>6</v>
      </c>
      <c r="FO30" s="1">
        <f t="shared" si="1"/>
        <v>2.7709570717136707</v>
      </c>
    </row>
    <row r="31" spans="2:171" ht="18" customHeight="1" x14ac:dyDescent="0.25">
      <c r="B31" s="6"/>
      <c r="AI31" s="29" t="s">
        <v>233</v>
      </c>
      <c r="AJ31" s="151">
        <f>ROUND(1000*1000/(2*3.1415*S20*AJ30),2)</f>
        <v>102.35</v>
      </c>
      <c r="AK31" s="151"/>
      <c r="AL31" s="151"/>
      <c r="AM31" s="1" t="s">
        <v>77</v>
      </c>
      <c r="AO31" s="41"/>
      <c r="AP31" s="8"/>
      <c r="AR31" s="6"/>
      <c r="BD31" s="29" t="s">
        <v>37</v>
      </c>
      <c r="BF31" s="173">
        <f>BJ39/(FE257)</f>
        <v>0.33691140737305009</v>
      </c>
      <c r="BG31" s="173"/>
      <c r="BH31" s="173"/>
      <c r="BI31" s="173"/>
      <c r="BJ31" s="173"/>
      <c r="BK31" s="173"/>
      <c r="BL31" s="173"/>
      <c r="BN31" s="178">
        <f>BF31+0.1</f>
        <v>0.43691140737305012</v>
      </c>
      <c r="BO31" s="178"/>
      <c r="BP31" s="178"/>
      <c r="BQ31" s="178"/>
      <c r="BR31" s="178"/>
      <c r="BS31" s="178"/>
      <c r="BT31" s="178"/>
      <c r="BV31" s="174">
        <f>IF(LEFT(J36,2)="SD",1.2,1.35)</f>
        <v>1.35</v>
      </c>
      <c r="BW31" s="174"/>
      <c r="BX31" s="174"/>
      <c r="BY31" s="174"/>
      <c r="BZ31" s="174"/>
      <c r="CF31" s="8"/>
      <c r="FC31" s="1">
        <f t="shared" si="11"/>
        <v>6.2</v>
      </c>
      <c r="FD31" s="12" t="str">
        <f t="shared" si="2"/>
        <v>0.0001-4.180132i</v>
      </c>
      <c r="FE31" s="13" t="str">
        <f t="shared" si="3"/>
        <v>0.000001-0.174172i</v>
      </c>
      <c r="FF31" s="13" t="str">
        <f t="shared" si="4"/>
        <v>0.010799+6.695178i</v>
      </c>
      <c r="FG31" s="14" t="str">
        <f t="shared" si="5"/>
        <v>10.798674+0.0001i</v>
      </c>
      <c r="FI31" s="1" t="str">
        <f t="shared" si="6"/>
        <v>0.0108+6.521006i</v>
      </c>
      <c r="FJ31" s="1" t="str">
        <f t="shared" si="7"/>
        <v>0.115974+70.418219i</v>
      </c>
      <c r="FK31" s="1" t="str">
        <f t="shared" si="8"/>
        <v>10.809474+6.521106i</v>
      </c>
      <c r="FL31" s="1" t="str">
        <f t="shared" si="9"/>
        <v>2.889249+4.771474i</v>
      </c>
      <c r="FM31" s="1" t="str">
        <f t="shared" si="10"/>
        <v>2.889349+0.591342i</v>
      </c>
      <c r="FN31" s="1">
        <f t="shared" si="0"/>
        <v>6.2</v>
      </c>
      <c r="FO31" s="1">
        <f t="shared" si="1"/>
        <v>2.9492410896305175</v>
      </c>
    </row>
    <row r="32" spans="2:171" ht="18" customHeight="1" x14ac:dyDescent="0.25">
      <c r="B32" s="6"/>
      <c r="C32" s="81" t="s">
        <v>336</v>
      </c>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
      <c r="AR32" s="6"/>
      <c r="BD32" s="29" t="str">
        <f>"% "&amp;$S$20&amp;"HZ AMPS:"</f>
        <v>% 60HZ AMPS:</v>
      </c>
      <c r="BF32" s="180">
        <f>BJ40/FE258</f>
        <v>0.32751107815657432</v>
      </c>
      <c r="BG32" s="180"/>
      <c r="BH32" s="180"/>
      <c r="BI32" s="180"/>
      <c r="BJ32" s="180"/>
      <c r="BK32" s="180"/>
      <c r="BL32" s="180"/>
      <c r="BN32" s="172">
        <f>SQRT(SUM(FE288*1.1*1.1,FF288:FT288))/S35/FE258</f>
        <v>0.35525486026283382</v>
      </c>
      <c r="BO32" s="172"/>
      <c r="BP32" s="172"/>
      <c r="BQ32" s="172"/>
      <c r="BR32" s="172"/>
      <c r="BS32" s="172"/>
      <c r="BT32" s="172"/>
      <c r="BV32" s="181">
        <v>1.35</v>
      </c>
      <c r="BW32" s="181"/>
      <c r="BX32" s="181"/>
      <c r="BY32" s="181"/>
      <c r="BZ32" s="181"/>
      <c r="CF32" s="8"/>
      <c r="FC32" s="1">
        <f t="shared" si="11"/>
        <v>6.4</v>
      </c>
      <c r="FD32" s="12" t="str">
        <f t="shared" si="2"/>
        <v>0.0001-4.049503i</v>
      </c>
      <c r="FE32" s="13" t="str">
        <f t="shared" si="3"/>
        <v>0.000001-0.168729i</v>
      </c>
      <c r="FF32" s="13" t="str">
        <f t="shared" si="4"/>
        <v>0.010799+6.911151i</v>
      </c>
      <c r="FG32" s="14" t="str">
        <f t="shared" si="5"/>
        <v>10.798674+0.0001i</v>
      </c>
      <c r="FI32" s="1" t="str">
        <f t="shared" si="6"/>
        <v>0.0108+6.742422i</v>
      </c>
      <c r="FJ32" s="1" t="str">
        <f t="shared" si="7"/>
        <v>0.115951+72.809218i</v>
      </c>
      <c r="FK32" s="1" t="str">
        <f t="shared" si="8"/>
        <v>10.809474+6.742522i</v>
      </c>
      <c r="FL32" s="1" t="str">
        <f t="shared" si="9"/>
        <v>3.032359+4.84422i</v>
      </c>
      <c r="FM32" s="1" t="str">
        <f t="shared" si="10"/>
        <v>3.032459+0.794717i</v>
      </c>
      <c r="FN32" s="1">
        <f t="shared" si="0"/>
        <v>6.4</v>
      </c>
      <c r="FO32" s="1">
        <f t="shared" si="1"/>
        <v>3.1348656584884136</v>
      </c>
    </row>
    <row r="33" spans="2:171" ht="18" customHeight="1" x14ac:dyDescent="0.25">
      <c r="B33" s="6"/>
      <c r="AP33" s="8"/>
      <c r="AR33" s="6"/>
      <c r="BD33" s="29" t="str">
        <f>"% "&amp;$S$20&amp;"HZ KVAR:"</f>
        <v>% 60HZ KVAR:</v>
      </c>
      <c r="BF33" s="173">
        <f>BJ41/FE259</f>
        <v>9.303794783209042E-2</v>
      </c>
      <c r="BG33" s="173"/>
      <c r="BH33" s="173"/>
      <c r="BI33" s="173"/>
      <c r="BJ33" s="173"/>
      <c r="BK33" s="173"/>
      <c r="BL33" s="173"/>
      <c r="BN33" s="172">
        <f>SUM(FE289*1.1*1.1,FF289:FT289)/FE259</f>
        <v>0.11198045725717425</v>
      </c>
      <c r="BO33" s="172"/>
      <c r="BP33" s="172"/>
      <c r="BQ33" s="172"/>
      <c r="BR33" s="172"/>
      <c r="BS33" s="172"/>
      <c r="BT33" s="172"/>
      <c r="BV33" s="174">
        <v>1.35</v>
      </c>
      <c r="BW33" s="174"/>
      <c r="BX33" s="174"/>
      <c r="BY33" s="174"/>
      <c r="BZ33" s="174"/>
      <c r="CF33" s="8"/>
      <c r="FC33" s="1">
        <f t="shared" si="11"/>
        <v>6.6</v>
      </c>
      <c r="FD33" s="12" t="str">
        <f t="shared" si="2"/>
        <v>0.0001-3.92679i</v>
      </c>
      <c r="FE33" s="13" t="str">
        <f t="shared" si="3"/>
        <v>0.000001-0.163616i</v>
      </c>
      <c r="FF33" s="13" t="str">
        <f t="shared" si="4"/>
        <v>0.010799+7.127125i</v>
      </c>
      <c r="FG33" s="14" t="str">
        <f t="shared" si="5"/>
        <v>10.798674+0.0001i</v>
      </c>
      <c r="FI33" s="1" t="str">
        <f t="shared" si="6"/>
        <v>0.0108+6.963509i</v>
      </c>
      <c r="FJ33" s="1" t="str">
        <f t="shared" si="7"/>
        <v>0.115929+75.196665i</v>
      </c>
      <c r="FK33" s="1" t="str">
        <f t="shared" si="8"/>
        <v>10.809474+6.963609i</v>
      </c>
      <c r="FL33" s="1" t="str">
        <f t="shared" si="9"/>
        <v>3.174696+4.91137i</v>
      </c>
      <c r="FM33" s="1" t="str">
        <f t="shared" si="10"/>
        <v>3.174796+0.98458i</v>
      </c>
      <c r="FN33" s="1">
        <f t="shared" si="0"/>
        <v>6.6</v>
      </c>
      <c r="FO33" s="1">
        <f t="shared" si="1"/>
        <v>3.3239626077944977</v>
      </c>
    </row>
    <row r="34" spans="2:171" ht="18" customHeight="1" x14ac:dyDescent="0.35">
      <c r="B34" s="6"/>
      <c r="C34" s="210" t="s">
        <v>234</v>
      </c>
      <c r="D34" s="210"/>
      <c r="E34" s="210"/>
      <c r="F34" s="210"/>
      <c r="G34" s="210"/>
      <c r="H34" s="210"/>
      <c r="I34" s="210"/>
      <c r="J34" s="210"/>
      <c r="K34" s="210"/>
      <c r="L34" s="210"/>
      <c r="M34" s="210"/>
      <c r="N34" s="210"/>
      <c r="O34" s="210"/>
      <c r="P34" s="210"/>
      <c r="Q34" s="210"/>
      <c r="R34" s="211"/>
      <c r="S34" s="137">
        <v>1</v>
      </c>
      <c r="T34" s="138"/>
      <c r="U34" s="139"/>
      <c r="V34" s="1" t="s">
        <v>42</v>
      </c>
      <c r="AG34" s="18"/>
      <c r="AH34" s="18"/>
      <c r="AI34" s="29" t="s">
        <v>72</v>
      </c>
      <c r="AJ34" s="107">
        <f>AJ35/S35</f>
        <v>154.33994272701955</v>
      </c>
      <c r="AK34" s="107"/>
      <c r="AL34" s="107"/>
      <c r="AM34" s="170" t="s">
        <v>47</v>
      </c>
      <c r="AN34" s="170"/>
      <c r="AP34" s="8"/>
      <c r="AR34" s="6"/>
      <c r="CF34" s="8"/>
      <c r="FC34" s="1">
        <f t="shared" si="11"/>
        <v>6.8</v>
      </c>
      <c r="FD34" s="12" t="str">
        <f t="shared" si="2"/>
        <v>0.0001-3.811297i</v>
      </c>
      <c r="FE34" s="13" t="str">
        <f t="shared" si="3"/>
        <v>0.000001-0.158804i</v>
      </c>
      <c r="FF34" s="13" t="str">
        <f t="shared" si="4"/>
        <v>0.010799+7.343098i</v>
      </c>
      <c r="FG34" s="14" t="str">
        <f t="shared" si="5"/>
        <v>10.798674+0.0001i</v>
      </c>
      <c r="FI34" s="1" t="str">
        <f t="shared" si="6"/>
        <v>0.0108+7.184294i</v>
      </c>
      <c r="FJ34" s="1" t="str">
        <f t="shared" si="7"/>
        <v>0.115907+77.58085i</v>
      </c>
      <c r="FK34" s="1" t="str">
        <f t="shared" si="8"/>
        <v>10.809474+7.184394i</v>
      </c>
      <c r="FL34" s="1" t="str">
        <f t="shared" si="9"/>
        <v>3.31606+4.973135i</v>
      </c>
      <c r="FM34" s="1" t="str">
        <f t="shared" si="10"/>
        <v>3.31616+1.161838i</v>
      </c>
      <c r="FN34" s="1">
        <f t="shared" si="0"/>
        <v>6.8</v>
      </c>
      <c r="FO34" s="1">
        <f t="shared" si="1"/>
        <v>3.513799180921414</v>
      </c>
    </row>
    <row r="35" spans="2:171" ht="18" customHeight="1" x14ac:dyDescent="0.35">
      <c r="B35" s="146" t="s">
        <v>343</v>
      </c>
      <c r="C35" s="119"/>
      <c r="D35" s="119"/>
      <c r="E35" s="119"/>
      <c r="F35" s="119"/>
      <c r="G35" s="119"/>
      <c r="H35" s="119"/>
      <c r="I35" s="119"/>
      <c r="J35" s="119"/>
      <c r="K35" s="119"/>
      <c r="L35" s="119"/>
      <c r="M35" s="119"/>
      <c r="N35" s="119"/>
      <c r="O35" s="119"/>
      <c r="P35" s="119"/>
      <c r="Q35" s="119"/>
      <c r="R35" s="147"/>
      <c r="S35" s="175">
        <v>6</v>
      </c>
      <c r="T35" s="176"/>
      <c r="U35" s="177"/>
      <c r="AI35" s="35" t="s">
        <v>235</v>
      </c>
      <c r="AJ35" s="107">
        <f>1000*(S34*S34)/AJ39</f>
        <v>926.03965636211728</v>
      </c>
      <c r="AK35" s="107"/>
      <c r="AL35" s="107"/>
      <c r="AM35" s="170" t="s">
        <v>47</v>
      </c>
      <c r="AN35" s="170"/>
      <c r="AP35" s="8"/>
      <c r="AR35" s="6"/>
      <c r="AS35" s="74" t="s">
        <v>236</v>
      </c>
      <c r="AT35" s="74"/>
      <c r="AU35" s="74"/>
      <c r="AV35" s="74"/>
      <c r="AW35" s="74"/>
      <c r="AX35" s="74"/>
      <c r="AY35" s="74"/>
      <c r="AZ35" s="74"/>
      <c r="BA35" s="74"/>
      <c r="BB35" s="74"/>
      <c r="BC35" s="74"/>
      <c r="BD35" s="74"/>
      <c r="BE35" s="74"/>
      <c r="BF35" s="74"/>
      <c r="BG35" s="74"/>
      <c r="BH35" s="74"/>
      <c r="BI35" s="74"/>
      <c r="BJ35" s="165">
        <f>FE282/S35</f>
        <v>46.354024224613056</v>
      </c>
      <c r="BK35" s="165"/>
      <c r="BL35" s="165"/>
      <c r="BM35" s="33" t="s">
        <v>49</v>
      </c>
      <c r="BN35" s="38"/>
      <c r="BO35" s="38"/>
      <c r="CF35" s="8"/>
      <c r="FC35" s="1">
        <f t="shared" si="11"/>
        <v>7</v>
      </c>
      <c r="FD35" s="12" t="str">
        <f t="shared" si="2"/>
        <v>0.0001-3.702402i</v>
      </c>
      <c r="FE35" s="13" t="str">
        <f t="shared" si="3"/>
        <v>0.000001-0.154267i</v>
      </c>
      <c r="FF35" s="13" t="str">
        <f t="shared" si="4"/>
        <v>0.010799+7.559072i</v>
      </c>
      <c r="FG35" s="14" t="str">
        <f t="shared" si="5"/>
        <v>10.798674+0.0001i</v>
      </c>
      <c r="FI35" s="1" t="str">
        <f t="shared" si="6"/>
        <v>0.0108+7.404805i</v>
      </c>
      <c r="FJ35" s="1" t="str">
        <f t="shared" si="7"/>
        <v>0.115885+79.962076i</v>
      </c>
      <c r="FK35" s="1" t="str">
        <f t="shared" si="8"/>
        <v>10.809474+7.404905i</v>
      </c>
      <c r="FL35" s="1" t="str">
        <f t="shared" si="9"/>
        <v>3.456276+5.029725i</v>
      </c>
      <c r="FM35" s="1" t="str">
        <f t="shared" si="10"/>
        <v>3.456376+1.327323i</v>
      </c>
      <c r="FN35" s="1">
        <f t="shared" si="0"/>
        <v>7</v>
      </c>
      <c r="FO35" s="1">
        <f t="shared" si="1"/>
        <v>3.702475037013079</v>
      </c>
    </row>
    <row r="36" spans="2:171" ht="18" customHeight="1" x14ac:dyDescent="0.35">
      <c r="B36" s="6"/>
      <c r="J36" s="88" t="s">
        <v>330</v>
      </c>
      <c r="K36" s="88"/>
      <c r="L36" s="88"/>
      <c r="M36" s="88"/>
      <c r="N36" s="88"/>
      <c r="O36" s="88"/>
      <c r="P36" s="88"/>
      <c r="Q36" s="88"/>
      <c r="R36" s="88"/>
      <c r="S36" s="88"/>
      <c r="T36" s="88"/>
      <c r="U36" s="88"/>
      <c r="AI36" s="35" t="s">
        <v>237</v>
      </c>
      <c r="AJ36" s="78">
        <f>AJ39</f>
        <v>1.0798673611111114</v>
      </c>
      <c r="AK36" s="78"/>
      <c r="AL36" s="78"/>
      <c r="AM36" s="1" t="s">
        <v>44</v>
      </c>
      <c r="AP36" s="8"/>
      <c r="AR36" s="6"/>
      <c r="AS36" s="171" t="s">
        <v>238</v>
      </c>
      <c r="AT36" s="171"/>
      <c r="AU36" s="171"/>
      <c r="AV36" s="171"/>
      <c r="AW36" s="171"/>
      <c r="AX36" s="171"/>
      <c r="AY36" s="171"/>
      <c r="AZ36" s="171"/>
      <c r="BA36" s="171"/>
      <c r="BB36" s="171"/>
      <c r="BC36" s="171"/>
      <c r="BD36" s="171"/>
      <c r="BE36" s="171"/>
      <c r="BF36" s="171"/>
      <c r="BG36" s="171"/>
      <c r="BH36" s="171"/>
      <c r="BI36" s="171"/>
      <c r="BJ36" s="75">
        <f>1.8*BJ35</f>
        <v>83.437243604303504</v>
      </c>
      <c r="BK36" s="75"/>
      <c r="BL36" s="75"/>
      <c r="BM36" s="33" t="s">
        <v>49</v>
      </c>
      <c r="BN36" s="38"/>
      <c r="BO36" s="38"/>
      <c r="BZ36" s="35" t="s">
        <v>50</v>
      </c>
      <c r="CA36" s="78">
        <f>(S34*S34)/AJ34*1000</f>
        <v>6.4792041666666682</v>
      </c>
      <c r="CB36" s="78"/>
      <c r="CC36" s="78"/>
      <c r="CD36" s="1" t="s">
        <v>44</v>
      </c>
      <c r="CF36" s="8"/>
      <c r="FC36" s="1">
        <f t="shared" si="11"/>
        <v>7.2</v>
      </c>
      <c r="FD36" s="12" t="str">
        <f t="shared" si="2"/>
        <v>0.0001-3.599558i</v>
      </c>
      <c r="FE36" s="13" t="str">
        <f t="shared" si="3"/>
        <v>0.000001-0.149982i</v>
      </c>
      <c r="FF36" s="13" t="str">
        <f t="shared" si="4"/>
        <v>0.010799+7.775045i</v>
      </c>
      <c r="FG36" s="14" t="str">
        <f t="shared" si="5"/>
        <v>10.798674+0.0001i</v>
      </c>
      <c r="FI36" s="1" t="str">
        <f t="shared" si="6"/>
        <v>0.0108+7.625063i</v>
      </c>
      <c r="FJ36" s="1" t="str">
        <f t="shared" si="7"/>
        <v>0.115863+82.340571i</v>
      </c>
      <c r="FK36" s="1" t="str">
        <f t="shared" si="8"/>
        <v>10.809474+7.625163i</v>
      </c>
      <c r="FL36" s="1" t="str">
        <f t="shared" si="9"/>
        <v>3.59518+5.081352i</v>
      </c>
      <c r="FM36" s="1" t="str">
        <f t="shared" si="10"/>
        <v>3.59528+1.481794i</v>
      </c>
      <c r="FN36" s="1">
        <f t="shared" si="0"/>
        <v>7.2</v>
      </c>
      <c r="FO36" s="1">
        <f t="shared" si="1"/>
        <v>3.8886696615727079</v>
      </c>
    </row>
    <row r="37" spans="2:171" ht="18" customHeight="1" x14ac:dyDescent="0.35">
      <c r="B37" s="6"/>
      <c r="AI37" s="29" t="s">
        <v>239</v>
      </c>
      <c r="AJ37" s="85">
        <f>ROUND(1000*1000/(2*3.1415*S20*AJ36),2)</f>
        <v>2456.4699999999998</v>
      </c>
      <c r="AK37" s="85"/>
      <c r="AL37" s="85"/>
      <c r="AM37" s="1" t="s">
        <v>77</v>
      </c>
      <c r="AP37" s="8"/>
      <c r="AR37" s="6"/>
      <c r="AS37" s="113" t="s">
        <v>240</v>
      </c>
      <c r="AT37" s="113"/>
      <c r="AU37" s="113"/>
      <c r="AV37" s="113"/>
      <c r="AW37" s="113"/>
      <c r="AX37" s="113"/>
      <c r="AY37" s="113"/>
      <c r="AZ37" s="113"/>
      <c r="BA37" s="113"/>
      <c r="BB37" s="113"/>
      <c r="BC37" s="113"/>
      <c r="BD37" s="113"/>
      <c r="BE37" s="113"/>
      <c r="BF37" s="113"/>
      <c r="BG37" s="113"/>
      <c r="BH37" s="113"/>
      <c r="BI37" s="113"/>
      <c r="BJ37" s="165">
        <f>FE282*AJ36/1000</f>
        <v>0.30033718689788058</v>
      </c>
      <c r="BK37" s="165"/>
      <c r="BL37" s="165"/>
      <c r="BM37" s="166" t="s">
        <v>42</v>
      </c>
      <c r="BN37" s="166"/>
      <c r="BO37" s="166"/>
      <c r="BZ37" s="35" t="s">
        <v>56</v>
      </c>
      <c r="CA37" s="78">
        <f>1000*1000/(2*3.1415*$S$20*CA36)</f>
        <v>409.41148794901466</v>
      </c>
      <c r="CB37" s="78"/>
      <c r="CC37" s="78"/>
      <c r="CD37" s="1" t="s">
        <v>241</v>
      </c>
      <c r="CF37" s="8"/>
      <c r="FC37" s="1">
        <f t="shared" si="11"/>
        <v>7.4</v>
      </c>
      <c r="FD37" s="12" t="str">
        <f t="shared" si="2"/>
        <v>0.0001-3.502273i</v>
      </c>
      <c r="FE37" s="13" t="str">
        <f t="shared" si="3"/>
        <v>0.000001-0.145928i</v>
      </c>
      <c r="FF37" s="13" t="str">
        <f t="shared" si="4"/>
        <v>0.010799+7.991018i</v>
      </c>
      <c r="FG37" s="14" t="str">
        <f t="shared" si="5"/>
        <v>10.798674+0.0001i</v>
      </c>
      <c r="FI37" s="1" t="str">
        <f t="shared" si="6"/>
        <v>0.0108+7.84509i</v>
      </c>
      <c r="FJ37" s="1" t="str">
        <f t="shared" si="7"/>
        <v>0.115841+84.71657i</v>
      </c>
      <c r="FK37" s="1" t="str">
        <f t="shared" si="8"/>
        <v>10.809474+7.84519i</v>
      </c>
      <c r="FL37" s="1" t="str">
        <f t="shared" si="9"/>
        <v>3.732627+5.128224i</v>
      </c>
      <c r="FM37" s="1" t="str">
        <f t="shared" si="10"/>
        <v>3.732727+1.625951i</v>
      </c>
      <c r="FN37" s="1">
        <f t="shared" si="0"/>
        <v>7.4</v>
      </c>
      <c r="FO37" s="1">
        <f t="shared" si="1"/>
        <v>4.071482225299528</v>
      </c>
    </row>
    <row r="38" spans="2:171" ht="18" customHeight="1" x14ac:dyDescent="0.25">
      <c r="B38" s="6"/>
      <c r="C38" s="81" t="s">
        <v>78</v>
      </c>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
      <c r="AR38" s="6"/>
      <c r="AS38" s="89" t="s">
        <v>242</v>
      </c>
      <c r="AT38" s="89"/>
      <c r="AU38" s="89"/>
      <c r="AV38" s="89"/>
      <c r="AW38" s="89"/>
      <c r="AX38" s="89"/>
      <c r="AY38" s="89"/>
      <c r="AZ38" s="89"/>
      <c r="BA38" s="89"/>
      <c r="BB38" s="89"/>
      <c r="BC38" s="89"/>
      <c r="BD38" s="89"/>
      <c r="BE38" s="89"/>
      <c r="BF38" s="89"/>
      <c r="BG38" s="89"/>
      <c r="BH38" s="89"/>
      <c r="BI38" s="89"/>
      <c r="BJ38" s="165">
        <f>SQRT(SUM(FE287:FT287))/1000</f>
        <v>0.30117080235048066</v>
      </c>
      <c r="BK38" s="165"/>
      <c r="BL38" s="165"/>
      <c r="BM38" s="166" t="s">
        <v>42</v>
      </c>
      <c r="BN38" s="166"/>
      <c r="BO38" s="166"/>
      <c r="CF38" s="8"/>
      <c r="FC38" s="1">
        <f t="shared" si="11"/>
        <v>7.6</v>
      </c>
      <c r="FD38" s="12" t="str">
        <f t="shared" si="2"/>
        <v>0.0001-3.410107i</v>
      </c>
      <c r="FE38" s="13" t="str">
        <f t="shared" si="3"/>
        <v>0.000001-0.142088i</v>
      </c>
      <c r="FF38" s="13" t="str">
        <f t="shared" si="4"/>
        <v>0.010799+8.206992i</v>
      </c>
      <c r="FG38" s="14" t="str">
        <f t="shared" si="5"/>
        <v>10.798674+0.0001i</v>
      </c>
      <c r="FI38" s="1" t="str">
        <f t="shared" si="6"/>
        <v>0.0108+8.064904i</v>
      </c>
      <c r="FJ38" s="1" t="str">
        <f t="shared" si="7"/>
        <v>0.115819+87.09027i</v>
      </c>
      <c r="FK38" s="1" t="str">
        <f t="shared" si="8"/>
        <v>10.809474+8.065004i</v>
      </c>
      <c r="FL38" s="1" t="str">
        <f t="shared" si="9"/>
        <v>3.868487+5.170548i</v>
      </c>
      <c r="FM38" s="1" t="str">
        <f t="shared" si="10"/>
        <v>3.868587+1.760441i</v>
      </c>
      <c r="FN38" s="1">
        <f t="shared" si="0"/>
        <v>7.6</v>
      </c>
      <c r="FO38" s="1">
        <f t="shared" si="1"/>
        <v>4.2503079760236204</v>
      </c>
    </row>
    <row r="39" spans="2:171" ht="18" customHeight="1" x14ac:dyDescent="0.25">
      <c r="B39" s="6"/>
      <c r="C39" s="140" t="s">
        <v>79</v>
      </c>
      <c r="D39" s="140"/>
      <c r="E39" s="140"/>
      <c r="F39" s="140"/>
      <c r="G39" s="140"/>
      <c r="H39" s="140"/>
      <c r="I39" s="140"/>
      <c r="J39" s="140"/>
      <c r="K39" s="140"/>
      <c r="L39" s="140"/>
      <c r="M39" s="140"/>
      <c r="N39" s="140"/>
      <c r="O39" s="140"/>
      <c r="P39" s="140"/>
      <c r="Q39" s="140"/>
      <c r="R39" s="141"/>
      <c r="S39" s="142">
        <v>100</v>
      </c>
      <c r="T39" s="142"/>
      <c r="U39" s="142"/>
      <c r="V39" s="24"/>
      <c r="W39" s="143" t="s">
        <v>80</v>
      </c>
      <c r="X39" s="143"/>
      <c r="Y39" s="143"/>
      <c r="Z39" s="143"/>
      <c r="AA39" s="143"/>
      <c r="AB39" s="143"/>
      <c r="AC39" s="143"/>
      <c r="AD39" s="143"/>
      <c r="AE39" s="143"/>
      <c r="AF39" s="143"/>
      <c r="AG39" s="143"/>
      <c r="AH39" s="143"/>
      <c r="AI39" s="143"/>
      <c r="AJ39" s="165">
        <f>AK17/(S19*S19-1)</f>
        <v>1.0798673611111114</v>
      </c>
      <c r="AK39" s="165"/>
      <c r="AL39" s="165"/>
      <c r="AM39" s="24" t="s">
        <v>81</v>
      </c>
      <c r="AN39" s="24"/>
      <c r="AO39" s="24"/>
      <c r="AP39" s="8"/>
      <c r="AR39" s="6"/>
      <c r="AS39" s="89" t="s">
        <v>243</v>
      </c>
      <c r="AT39" s="89"/>
      <c r="AU39" s="89"/>
      <c r="AV39" s="89"/>
      <c r="AW39" s="89"/>
      <c r="AX39" s="89"/>
      <c r="AY39" s="89"/>
      <c r="AZ39" s="89"/>
      <c r="BA39" s="89"/>
      <c r="BB39" s="89"/>
      <c r="BC39" s="89"/>
      <c r="BD39" s="89"/>
      <c r="BE39" s="89"/>
      <c r="BF39" s="89"/>
      <c r="BG39" s="89"/>
      <c r="BH39" s="89"/>
      <c r="BI39" s="89"/>
      <c r="BJ39" s="165">
        <f>1.414*SUM(FE286:FT286)/1000</f>
        <v>0.47639273002549282</v>
      </c>
      <c r="BK39" s="165"/>
      <c r="BL39" s="165"/>
      <c r="BM39" s="166" t="s">
        <v>42</v>
      </c>
      <c r="BN39" s="166"/>
      <c r="BO39" s="166"/>
      <c r="CF39" s="8"/>
      <c r="FC39" s="1">
        <f t="shared" si="11"/>
        <v>7.8</v>
      </c>
      <c r="FD39" s="12" t="str">
        <f t="shared" si="2"/>
        <v>0.0001-3.322669i</v>
      </c>
      <c r="FE39" s="13" t="str">
        <f t="shared" si="3"/>
        <v>0.000001-0.138445i</v>
      </c>
      <c r="FF39" s="13" t="str">
        <f t="shared" si="4"/>
        <v>0.010799+8.422965i</v>
      </c>
      <c r="FG39" s="14" t="str">
        <f t="shared" si="5"/>
        <v>10.798674+0.0001i</v>
      </c>
      <c r="FI39" s="1" t="str">
        <f t="shared" si="6"/>
        <v>0.0108+8.28452i</v>
      </c>
      <c r="FJ39" s="1" t="str">
        <f t="shared" si="7"/>
        <v>0.115797+89.461832i</v>
      </c>
      <c r="FK39" s="1" t="str">
        <f t="shared" si="8"/>
        <v>10.809474+8.28462i</v>
      </c>
      <c r="FL39" s="1" t="str">
        <f t="shared" si="9"/>
        <v>4.002644+5.208528i</v>
      </c>
      <c r="FM39" s="1" t="str">
        <f t="shared" si="10"/>
        <v>4.002744+1.885859i</v>
      </c>
      <c r="FN39" s="1">
        <f t="shared" si="0"/>
        <v>7.8</v>
      </c>
      <c r="FO39" s="1">
        <f t="shared" si="1"/>
        <v>4.4247512582536208</v>
      </c>
    </row>
    <row r="40" spans="2:171" ht="18" customHeight="1" x14ac:dyDescent="0.25">
      <c r="B40" s="6"/>
      <c r="C40" s="24"/>
      <c r="D40" s="24"/>
      <c r="E40" s="24"/>
      <c r="F40" s="24"/>
      <c r="G40" s="24"/>
      <c r="H40" s="24"/>
      <c r="I40" s="24"/>
      <c r="J40" s="24"/>
      <c r="K40" s="24"/>
      <c r="L40" s="24"/>
      <c r="M40" s="24"/>
      <c r="N40" s="24"/>
      <c r="O40" s="24"/>
      <c r="P40" s="24"/>
      <c r="Q40" s="42"/>
      <c r="R40" s="32" t="s">
        <v>82</v>
      </c>
      <c r="S40" s="145">
        <v>1.5</v>
      </c>
      <c r="T40" s="145"/>
      <c r="U40" s="145"/>
      <c r="V40" s="89" t="s">
        <v>83</v>
      </c>
      <c r="W40" s="89"/>
      <c r="X40" s="89"/>
      <c r="Y40" s="89"/>
      <c r="Z40" s="89"/>
      <c r="AA40" s="89"/>
      <c r="AB40" s="89"/>
      <c r="AC40" s="89"/>
      <c r="AD40" s="89"/>
      <c r="AE40" s="89"/>
      <c r="AF40" s="89"/>
      <c r="AG40" s="89"/>
      <c r="AH40" s="89"/>
      <c r="AI40" s="89"/>
      <c r="AJ40" s="165">
        <f>1000*AJ39/(2*3.1415*S20)</f>
        <v>2.8645216221314431</v>
      </c>
      <c r="AK40" s="165"/>
      <c r="AL40" s="165"/>
      <c r="AM40" s="24" t="s">
        <v>84</v>
      </c>
      <c r="AN40" s="24"/>
      <c r="AO40" s="24"/>
      <c r="AP40" s="8"/>
      <c r="AR40" s="6"/>
      <c r="AS40" s="89" t="s">
        <v>244</v>
      </c>
      <c r="AT40" s="89"/>
      <c r="AU40" s="89"/>
      <c r="AV40" s="89"/>
      <c r="AW40" s="89"/>
      <c r="AX40" s="89"/>
      <c r="AY40" s="89"/>
      <c r="AZ40" s="89"/>
      <c r="BA40" s="89"/>
      <c r="BB40" s="89"/>
      <c r="BC40" s="89"/>
      <c r="BD40" s="89"/>
      <c r="BE40" s="89"/>
      <c r="BF40" s="89"/>
      <c r="BG40" s="89"/>
      <c r="BH40" s="89"/>
      <c r="BI40" s="89"/>
      <c r="BJ40" s="124">
        <f>SQRT(SUM(FE288:FT288))/S35</f>
        <v>50.548041045150107</v>
      </c>
      <c r="BK40" s="124"/>
      <c r="BL40" s="124"/>
      <c r="BM40" s="166" t="s">
        <v>49</v>
      </c>
      <c r="BN40" s="166"/>
      <c r="BO40" s="166"/>
      <c r="CF40" s="8"/>
      <c r="FC40" s="1">
        <f t="shared" si="11"/>
        <v>8</v>
      </c>
      <c r="FD40" s="12" t="str">
        <f t="shared" si="2"/>
        <v>0.0001-3.239602i</v>
      </c>
      <c r="FE40" s="13" t="str">
        <f t="shared" si="3"/>
        <v>0.000001-0.134983i</v>
      </c>
      <c r="FF40" s="13" t="str">
        <f t="shared" si="4"/>
        <v>0.010799+8.638939i</v>
      </c>
      <c r="FG40" s="14" t="str">
        <f t="shared" si="5"/>
        <v>10.798674+0.0001i</v>
      </c>
      <c r="FI40" s="1" t="str">
        <f t="shared" si="6"/>
        <v>0.0108+8.503956i</v>
      </c>
      <c r="FJ40" s="1" t="str">
        <f t="shared" si="7"/>
        <v>0.115775+91.83145i</v>
      </c>
      <c r="FK40" s="1" t="str">
        <f t="shared" si="8"/>
        <v>10.809474+8.504056i</v>
      </c>
      <c r="FL40" s="1" t="str">
        <f t="shared" si="9"/>
        <v>4.134997+5.242365i</v>
      </c>
      <c r="FM40" s="1" t="str">
        <f t="shared" si="10"/>
        <v>4.135097+2.002763i</v>
      </c>
      <c r="FN40" s="1">
        <f t="shared" si="0"/>
        <v>8</v>
      </c>
      <c r="FO40" s="1">
        <f t="shared" si="1"/>
        <v>4.5945714526577994</v>
      </c>
    </row>
    <row r="41" spans="2:171" ht="18" customHeight="1" x14ac:dyDescent="0.25">
      <c r="B41" s="6"/>
      <c r="C41" s="24"/>
      <c r="D41" s="24"/>
      <c r="E41" s="24"/>
      <c r="F41" s="24"/>
      <c r="G41" s="24"/>
      <c r="H41" s="24"/>
      <c r="I41" s="24"/>
      <c r="J41" s="24"/>
      <c r="K41" s="24"/>
      <c r="L41" s="24"/>
      <c r="M41" s="24"/>
      <c r="N41" s="24"/>
      <c r="O41" s="24"/>
      <c r="P41" s="24"/>
      <c r="Q41" s="24"/>
      <c r="R41" s="32" t="s">
        <v>86</v>
      </c>
      <c r="S41" s="108">
        <v>1.5</v>
      </c>
      <c r="T41" s="108"/>
      <c r="U41" s="108"/>
      <c r="V41" s="24"/>
      <c r="W41" s="24"/>
      <c r="X41" s="24"/>
      <c r="Y41" s="24"/>
      <c r="Z41" s="24"/>
      <c r="AA41" s="24"/>
      <c r="AB41" s="24"/>
      <c r="AC41" s="24"/>
      <c r="AD41" s="24"/>
      <c r="AE41" s="24"/>
      <c r="AF41" s="24"/>
      <c r="AG41" s="24"/>
      <c r="AH41" s="24"/>
      <c r="AI41" s="24"/>
      <c r="AJ41" s="24"/>
      <c r="AK41" s="24"/>
      <c r="AL41" s="24"/>
      <c r="AM41" s="24"/>
      <c r="AN41" s="24"/>
      <c r="AO41" s="24"/>
      <c r="AP41" s="8"/>
      <c r="AR41" s="6"/>
      <c r="AS41" s="89" t="s">
        <v>334</v>
      </c>
      <c r="AT41" s="89"/>
      <c r="AU41" s="89"/>
      <c r="AV41" s="89"/>
      <c r="AW41" s="89"/>
      <c r="AX41" s="89"/>
      <c r="AY41" s="89"/>
      <c r="AZ41" s="89"/>
      <c r="BA41" s="89"/>
      <c r="BB41" s="89"/>
      <c r="BC41" s="89"/>
      <c r="BD41" s="89"/>
      <c r="BE41" s="89"/>
      <c r="BF41" s="89"/>
      <c r="BG41" s="89"/>
      <c r="BH41" s="89"/>
      <c r="BI41" s="89"/>
      <c r="BJ41" s="124">
        <f>SUM(FE289:FT289)</f>
        <v>86.156829239065601</v>
      </c>
      <c r="BK41" s="124"/>
      <c r="BL41" s="124"/>
      <c r="BM41" s="166" t="s">
        <v>47</v>
      </c>
      <c r="BN41" s="166"/>
      <c r="BO41" s="166"/>
      <c r="CF41" s="8"/>
      <c r="FC41" s="1">
        <f t="shared" si="11"/>
        <v>8.1999999999999993</v>
      </c>
      <c r="FD41" s="12" t="str">
        <f t="shared" si="2"/>
        <v>0.0001-3.160587i</v>
      </c>
      <c r="FE41" s="13" t="str">
        <f t="shared" si="3"/>
        <v>0.000001-0.131691i</v>
      </c>
      <c r="FF41" s="13" t="str">
        <f t="shared" si="4"/>
        <v>0.010799+8.854912i</v>
      </c>
      <c r="FG41" s="14" t="str">
        <f t="shared" si="5"/>
        <v>10.798674+0.0001i</v>
      </c>
      <c r="FI41" s="1" t="str">
        <f t="shared" si="6"/>
        <v>0.0108+8.723221i</v>
      </c>
      <c r="FJ41" s="1" t="str">
        <f t="shared" si="7"/>
        <v>0.115753+94.199221i</v>
      </c>
      <c r="FK41" s="1" t="str">
        <f t="shared" si="8"/>
        <v>10.809474+8.723321i</v>
      </c>
      <c r="FL41" s="1" t="str">
        <f t="shared" si="9"/>
        <v>4.265454+5.272254i</v>
      </c>
      <c r="FM41" s="1" t="str">
        <f t="shared" si="10"/>
        <v>4.265554+2.111667i</v>
      </c>
      <c r="FN41" s="1">
        <f t="shared" si="0"/>
        <v>8.1999999999999993</v>
      </c>
      <c r="FO41" s="1">
        <f t="shared" si="1"/>
        <v>4.7596311249722909</v>
      </c>
    </row>
    <row r="42" spans="2:171" ht="18" customHeight="1" x14ac:dyDescent="0.25">
      <c r="B42" s="6"/>
      <c r="AP42" s="8"/>
      <c r="AR42" s="6"/>
      <c r="CF42" s="8"/>
      <c r="FD42" s="12"/>
      <c r="FE42" s="13"/>
      <c r="FF42" s="13"/>
      <c r="FG42" s="14"/>
    </row>
    <row r="43" spans="2:171" ht="18" customHeight="1" x14ac:dyDescent="0.25">
      <c r="B43" s="6"/>
      <c r="C43" s="81" t="s">
        <v>85</v>
      </c>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
      <c r="AR43" s="6"/>
      <c r="CF43" s="8"/>
      <c r="FD43" s="12"/>
      <c r="FE43" s="13"/>
      <c r="FF43" s="13"/>
      <c r="FG43" s="14"/>
    </row>
    <row r="44" spans="2:171" ht="18" customHeight="1" x14ac:dyDescent="0.25">
      <c r="B44" s="28"/>
      <c r="C44" s="24"/>
      <c r="D44" s="24"/>
      <c r="E44" s="24"/>
      <c r="F44" s="24"/>
      <c r="G44" s="24"/>
      <c r="H44" s="24"/>
      <c r="I44" s="24"/>
      <c r="J44" s="24"/>
      <c r="K44" s="24"/>
      <c r="L44" s="24"/>
      <c r="M44" s="24"/>
      <c r="N44" s="24"/>
      <c r="O44" s="24"/>
      <c r="P44" s="24"/>
      <c r="Q44" s="24"/>
      <c r="R44" s="32" t="s">
        <v>87</v>
      </c>
      <c r="S44" s="137">
        <v>100</v>
      </c>
      <c r="T44" s="138"/>
      <c r="U44" s="139"/>
      <c r="V44" s="33" t="s">
        <v>88</v>
      </c>
      <c r="W44" s="24"/>
      <c r="X44" s="24"/>
      <c r="Y44" s="24"/>
      <c r="Z44" s="24"/>
      <c r="AA44" s="24"/>
      <c r="AB44" s="24"/>
      <c r="AC44" s="24"/>
      <c r="AD44" s="24"/>
      <c r="AE44" s="24"/>
      <c r="AF44" s="24"/>
      <c r="AG44" s="24"/>
      <c r="AH44" s="24"/>
      <c r="AI44" s="24"/>
      <c r="AJ44" s="24"/>
      <c r="AK44" s="24"/>
      <c r="AL44" s="24"/>
      <c r="AM44" s="24"/>
      <c r="AN44" s="24"/>
      <c r="AO44" s="24"/>
      <c r="AP44" s="43"/>
      <c r="AR44" s="6"/>
      <c r="CF44" s="8"/>
      <c r="FC44" s="1">
        <f>ROUND(FC41+0.2,1)</f>
        <v>8.4</v>
      </c>
      <c r="FD44" s="12" t="str">
        <f t="shared" si="2"/>
        <v>0.0001-3.085335i</v>
      </c>
      <c r="FE44" s="13" t="str">
        <f t="shared" si="3"/>
        <v>0.000001-0.128556i</v>
      </c>
      <c r="FF44" s="13" t="str">
        <f t="shared" si="4"/>
        <v>0.010799+9.070886i</v>
      </c>
      <c r="FG44" s="14" t="str">
        <f t="shared" si="5"/>
        <v>10.798674+0.0001i</v>
      </c>
      <c r="FI44" s="1" t="str">
        <f t="shared" si="6"/>
        <v>0.0108+8.94233i</v>
      </c>
      <c r="FJ44" s="1" t="str">
        <f t="shared" si="7"/>
        <v>0.115731+96.565308i</v>
      </c>
      <c r="FK44" s="1" t="str">
        <f t="shared" si="8"/>
        <v>10.809474+8.94243i</v>
      </c>
      <c r="FL44" s="1" t="str">
        <f t="shared" si="9"/>
        <v>4.393942+5.298388i</v>
      </c>
      <c r="FM44" s="1" t="str">
        <f t="shared" si="10"/>
        <v>4.394042+2.213053i</v>
      </c>
      <c r="FN44" s="1">
        <f>FC44</f>
        <v>8.4</v>
      </c>
      <c r="FO44" s="1">
        <f>IMABS(FM44)</f>
        <v>4.9198789292596423</v>
      </c>
    </row>
    <row r="45" spans="2:171" ht="18" customHeight="1" x14ac:dyDescent="0.35">
      <c r="B45" s="28"/>
      <c r="C45" s="24"/>
      <c r="D45" s="24"/>
      <c r="E45" s="24"/>
      <c r="F45" s="24"/>
      <c r="G45" s="24"/>
      <c r="H45" s="24"/>
      <c r="I45" s="24"/>
      <c r="J45" s="24"/>
      <c r="K45" s="24"/>
      <c r="L45" s="24"/>
      <c r="M45" s="24"/>
      <c r="N45" s="35" t="s">
        <v>89</v>
      </c>
      <c r="O45" s="124">
        <v>0</v>
      </c>
      <c r="P45" s="124"/>
      <c r="Q45" s="124"/>
      <c r="R45" s="24" t="s">
        <v>49</v>
      </c>
      <c r="S45" s="24"/>
      <c r="T45" s="24"/>
      <c r="U45" s="24"/>
      <c r="V45" s="24"/>
      <c r="W45" s="24"/>
      <c r="X45" s="24"/>
      <c r="Y45" s="24"/>
      <c r="Z45" s="24"/>
      <c r="AA45" s="24"/>
      <c r="AB45" s="24"/>
      <c r="AC45" s="24"/>
      <c r="AD45" s="24"/>
      <c r="AE45" s="24"/>
      <c r="AF45" s="24"/>
      <c r="AG45" s="24"/>
      <c r="AH45" s="24"/>
      <c r="AI45" s="32" t="s">
        <v>90</v>
      </c>
      <c r="AJ45" s="165">
        <f>S21*AJ39*S19</f>
        <v>10.798673611111113</v>
      </c>
      <c r="AK45" s="165"/>
      <c r="AL45" s="165"/>
      <c r="AM45" s="24" t="s">
        <v>44</v>
      </c>
      <c r="AN45" s="24"/>
      <c r="AO45" s="24"/>
      <c r="AP45" s="43"/>
      <c r="AR45" s="6"/>
      <c r="CF45" s="8"/>
      <c r="FC45" s="1">
        <f t="shared" si="11"/>
        <v>8.6</v>
      </c>
      <c r="FD45" s="12" t="str">
        <f t="shared" si="2"/>
        <v>0.0001-3.013583i</v>
      </c>
      <c r="FE45" s="13" t="str">
        <f t="shared" si="3"/>
        <v>0.000001-0.125566i</v>
      </c>
      <c r="FF45" s="13" t="str">
        <f t="shared" si="4"/>
        <v>0.010799+9.286859i</v>
      </c>
      <c r="FG45" s="14" t="str">
        <f t="shared" si="5"/>
        <v>10.798674+0.0001i</v>
      </c>
      <c r="FI45" s="1" t="str">
        <f t="shared" si="6"/>
        <v>0.0108+9.161293i</v>
      </c>
      <c r="FJ45" s="1" t="str">
        <f t="shared" si="7"/>
        <v>0.11571+98.929818i</v>
      </c>
      <c r="FK45" s="1" t="str">
        <f t="shared" si="8"/>
        <v>10.809474+9.161393i</v>
      </c>
      <c r="FL45" s="1" t="str">
        <f t="shared" si="9"/>
        <v>4.520393+5.320955i</v>
      </c>
      <c r="FM45" s="1" t="str">
        <f t="shared" si="10"/>
        <v>4.520493+2.307372i</v>
      </c>
      <c r="FN45" s="1">
        <f>FC45</f>
        <v>8.6</v>
      </c>
      <c r="FO45" s="1">
        <f>IMABS(FM45)</f>
        <v>5.0753150157830591</v>
      </c>
    </row>
    <row r="46" spans="2:171" ht="18" customHeight="1" x14ac:dyDescent="0.35">
      <c r="B46" s="6"/>
      <c r="N46" s="35" t="s">
        <v>91</v>
      </c>
      <c r="O46" s="165">
        <f>SQRT((S44*1000)/AJ45)</f>
        <v>96.230954290296708</v>
      </c>
      <c r="P46" s="165"/>
      <c r="Q46" s="165"/>
      <c r="R46" s="24" t="s">
        <v>49</v>
      </c>
      <c r="S46" s="24"/>
      <c r="T46" s="24"/>
      <c r="U46" s="24"/>
      <c r="V46" s="24"/>
      <c r="W46" s="24"/>
      <c r="X46" s="24"/>
      <c r="Y46" s="24"/>
      <c r="Z46" s="24"/>
      <c r="AA46" s="24"/>
      <c r="AB46" s="24"/>
      <c r="AC46" s="24"/>
      <c r="AD46" s="24"/>
      <c r="AE46" s="24"/>
      <c r="AF46" s="24"/>
      <c r="AG46" s="24"/>
      <c r="AH46" s="24"/>
      <c r="AI46" s="32" t="s">
        <v>92</v>
      </c>
      <c r="AJ46" s="124">
        <f>SUM(FE285:FT285)</f>
        <v>77.418713659219037</v>
      </c>
      <c r="AK46" s="124"/>
      <c r="AL46" s="124"/>
      <c r="AM46" s="24" t="s">
        <v>88</v>
      </c>
      <c r="AN46" s="24"/>
      <c r="AO46" s="24"/>
      <c r="AP46" s="43"/>
      <c r="AR46" s="6"/>
      <c r="CF46" s="8"/>
      <c r="FC46" s="1">
        <f t="shared" si="11"/>
        <v>8.8000000000000007</v>
      </c>
      <c r="FD46" s="12" t="str">
        <f t="shared" si="2"/>
        <v>0.0001-2.945093i</v>
      </c>
      <c r="FE46" s="13" t="str">
        <f t="shared" si="3"/>
        <v>0.000001-0.122712i</v>
      </c>
      <c r="FF46" s="13" t="str">
        <f t="shared" si="4"/>
        <v>0.010799+9.502833i</v>
      </c>
      <c r="FG46" s="14" t="str">
        <f t="shared" si="5"/>
        <v>10.798674+0.0001i</v>
      </c>
      <c r="FI46" s="1" t="str">
        <f t="shared" si="6"/>
        <v>0.0108+9.380121i</v>
      </c>
      <c r="FJ46" s="1" t="str">
        <f t="shared" si="7"/>
        <v>0.115688+101.29287i</v>
      </c>
      <c r="FK46" s="1" t="str">
        <f t="shared" si="8"/>
        <v>10.809474+9.380221i</v>
      </c>
      <c r="FL46" s="1" t="str">
        <f t="shared" si="9"/>
        <v>4.644753+5.340136i</v>
      </c>
      <c r="FM46" s="1" t="str">
        <f t="shared" si="10"/>
        <v>4.644853+2.395043i</v>
      </c>
      <c r="FN46" s="1">
        <f>FC46</f>
        <v>8.8000000000000007</v>
      </c>
      <c r="FO46" s="1">
        <f>IMABS(FM46)</f>
        <v>5.2259822391066351</v>
      </c>
    </row>
    <row r="47" spans="2:171" ht="18" customHeight="1" thickBot="1" x14ac:dyDescent="0.3">
      <c r="B47" s="6"/>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1"/>
      <c r="AO47" s="11"/>
      <c r="AP47" s="8"/>
      <c r="AR47" s="6"/>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1"/>
      <c r="CE47" s="10"/>
      <c r="CF47" s="8"/>
      <c r="FD47" s="12"/>
      <c r="FE47" s="13"/>
      <c r="FF47" s="13"/>
      <c r="FG47" s="14"/>
    </row>
    <row r="48" spans="2:171" ht="18" customHeight="1" x14ac:dyDescent="0.25">
      <c r="B48" s="6"/>
      <c r="D48" s="44" t="s">
        <v>94</v>
      </c>
      <c r="AO48" s="45" t="s">
        <v>333</v>
      </c>
      <c r="AP48" s="8"/>
      <c r="AR48" s="6"/>
      <c r="AT48" s="44" t="s">
        <v>94</v>
      </c>
      <c r="CE48" s="29" t="s">
        <v>96</v>
      </c>
      <c r="CF48" s="8"/>
      <c r="FC48" s="1">
        <f>ROUND(FC46+0.2,1)</f>
        <v>9</v>
      </c>
      <c r="FD48" s="12" t="str">
        <f t="shared" si="2"/>
        <v>0.0001-2.879646i</v>
      </c>
      <c r="FE48" s="13" t="str">
        <f t="shared" si="3"/>
        <v>0.000001-0.119985i</v>
      </c>
      <c r="FF48" s="13" t="str">
        <f t="shared" si="4"/>
        <v>0.010799+9.718806i</v>
      </c>
      <c r="FG48" s="14" t="str">
        <f t="shared" si="5"/>
        <v>10.798674+0.0001i</v>
      </c>
      <c r="FI48" s="1" t="str">
        <f t="shared" si="6"/>
        <v>0.0108+9.598821i</v>
      </c>
      <c r="FJ48" s="1" t="str">
        <f t="shared" si="7"/>
        <v>0.115666+103.65454i</v>
      </c>
      <c r="FK48" s="1" t="str">
        <f t="shared" si="8"/>
        <v>10.809474+9.598921i</v>
      </c>
      <c r="FL48" s="1" t="str">
        <f t="shared" si="9"/>
        <v>4.766977+5.356107i</v>
      </c>
      <c r="FM48" s="1" t="str">
        <f t="shared" si="10"/>
        <v>4.767077+2.476461i</v>
      </c>
      <c r="FN48" s="1">
        <f t="shared" ref="FN48:FN69" si="12">FC48</f>
        <v>9</v>
      </c>
      <c r="FO48" s="1">
        <f t="shared" ref="FO48:FO69" si="13">IMABS(FM48)</f>
        <v>5.3719532954457074</v>
      </c>
    </row>
    <row r="49" spans="2:171" ht="18" customHeight="1" x14ac:dyDescent="0.25">
      <c r="B49" s="46"/>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8"/>
      <c r="AR49" s="46"/>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8"/>
      <c r="FC49" s="1">
        <f t="shared" si="11"/>
        <v>9.1999999999999993</v>
      </c>
      <c r="FD49" s="12" t="str">
        <f t="shared" si="2"/>
        <v>0.0001-2.817045i</v>
      </c>
      <c r="FE49" s="13" t="str">
        <f t="shared" si="3"/>
        <v>0.000001-0.117377i</v>
      </c>
      <c r="FF49" s="13" t="str">
        <f t="shared" si="4"/>
        <v>0.010799+9.93478i</v>
      </c>
      <c r="FG49" s="14" t="str">
        <f t="shared" si="5"/>
        <v>10.798674+0.0001i</v>
      </c>
      <c r="FI49" s="1" t="str">
        <f t="shared" si="6"/>
        <v>0.0108+9.817403i</v>
      </c>
      <c r="FJ49" s="1" t="str">
        <f t="shared" si="7"/>
        <v>0.115644+106.014936i</v>
      </c>
      <c r="FK49" s="1" t="str">
        <f t="shared" si="8"/>
        <v>10.809474+9.817503i</v>
      </c>
      <c r="FL49" s="1" t="str">
        <f t="shared" si="9"/>
        <v>4.88703+5.369041i</v>
      </c>
      <c r="FM49" s="1" t="str">
        <f t="shared" si="10"/>
        <v>4.88713+2.551996i</v>
      </c>
      <c r="FN49" s="1">
        <f t="shared" si="12"/>
        <v>9.1999999999999993</v>
      </c>
      <c r="FO49" s="1">
        <f t="shared" si="13"/>
        <v>5.513322339652925</v>
      </c>
    </row>
    <row r="50" spans="2:171" ht="18" customHeight="1" x14ac:dyDescent="0.25">
      <c r="FC50" s="1">
        <f t="shared" si="11"/>
        <v>9.4</v>
      </c>
      <c r="FD50" s="12" t="str">
        <f t="shared" si="2"/>
        <v>0.0001-2.757108i</v>
      </c>
      <c r="FE50" s="13" t="str">
        <f t="shared" si="3"/>
        <v>0.000001-0.11488i</v>
      </c>
      <c r="FF50" s="13" t="str">
        <f t="shared" si="4"/>
        <v>0.010799+10.150753i</v>
      </c>
      <c r="FG50" s="14" t="str">
        <f t="shared" si="5"/>
        <v>10.798674+0.0001i</v>
      </c>
      <c r="FI50" s="1" t="str">
        <f t="shared" si="6"/>
        <v>0.0108+10.035873i</v>
      </c>
      <c r="FJ50" s="1" t="str">
        <f t="shared" si="7"/>
        <v>0.115622+108.374122i</v>
      </c>
      <c r="FK50" s="1" t="str">
        <f t="shared" si="8"/>
        <v>10.809474+10.035973i</v>
      </c>
      <c r="FL50" s="1" t="str">
        <f t="shared" si="9"/>
        <v>5.004882+5.379102i</v>
      </c>
      <c r="FM50" s="1" t="str">
        <f t="shared" si="10"/>
        <v>5.004982+2.621994i</v>
      </c>
      <c r="FN50" s="1">
        <f t="shared" si="12"/>
        <v>9.4</v>
      </c>
      <c r="FO50" s="1">
        <f t="shared" si="13"/>
        <v>5.6501944529688535</v>
      </c>
    </row>
    <row r="51" spans="2:171" ht="18" customHeight="1" x14ac:dyDescent="0.25">
      <c r="B51" s="3"/>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5"/>
      <c r="AR51" s="3"/>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5"/>
      <c r="FC51" s="1">
        <f t="shared" si="11"/>
        <v>9.6</v>
      </c>
      <c r="FD51" s="12" t="str">
        <f t="shared" si="2"/>
        <v>0.0001-2.699668i</v>
      </c>
      <c r="FE51" s="13" t="str">
        <f t="shared" si="3"/>
        <v>0.000001-0.112486i</v>
      </c>
      <c r="FF51" s="13" t="str">
        <f t="shared" si="4"/>
        <v>0.010799+10.366727i</v>
      </c>
      <c r="FG51" s="14" t="str">
        <f t="shared" si="5"/>
        <v>10.798674+0.0001i</v>
      </c>
      <c r="FI51" s="1" t="str">
        <f t="shared" si="6"/>
        <v>0.0108+10.254241i</v>
      </c>
      <c r="FJ51" s="1" t="str">
        <f t="shared" si="7"/>
        <v>0.1156+110.732207i</v>
      </c>
      <c r="FK51" s="1" t="str">
        <f t="shared" si="8"/>
        <v>10.809474+10.254341i</v>
      </c>
      <c r="FL51" s="1" t="str">
        <f t="shared" si="9"/>
        <v>5.120516+5.386449i</v>
      </c>
      <c r="FM51" s="1" t="str">
        <f t="shared" si="10"/>
        <v>5.120616+2.686781i</v>
      </c>
      <c r="FN51" s="1">
        <f t="shared" si="12"/>
        <v>9.6</v>
      </c>
      <c r="FO51" s="1">
        <f t="shared" si="13"/>
        <v>5.7826897168546925</v>
      </c>
    </row>
    <row r="52" spans="2:171" ht="18" customHeight="1" x14ac:dyDescent="0.25">
      <c r="B52" s="6"/>
      <c r="AN52" s="7"/>
      <c r="AP52" s="8"/>
      <c r="AR52" s="6"/>
      <c r="CD52" s="7"/>
      <c r="CF52" s="8"/>
      <c r="FC52" s="1">
        <f t="shared" si="11"/>
        <v>9.8000000000000007</v>
      </c>
      <c r="FD52" s="12" t="str">
        <f t="shared" si="2"/>
        <v>0.0001-2.644573i</v>
      </c>
      <c r="FE52" s="13" t="str">
        <f t="shared" si="3"/>
        <v>0.000001-0.110191i</v>
      </c>
      <c r="FF52" s="13" t="str">
        <f t="shared" si="4"/>
        <v>0.010799+10.5827i</v>
      </c>
      <c r="FG52" s="14" t="str">
        <f t="shared" si="5"/>
        <v>10.798674+0.0001i</v>
      </c>
      <c r="FI52" s="1" t="str">
        <f t="shared" si="6"/>
        <v>0.0108+10.472509i</v>
      </c>
      <c r="FJ52" s="1" t="str">
        <f t="shared" si="7"/>
        <v>0.115578+113.089212i</v>
      </c>
      <c r="FK52" s="1" t="str">
        <f t="shared" si="8"/>
        <v>10.809474+10.472609i</v>
      </c>
      <c r="FL52" s="1" t="str">
        <f t="shared" si="9"/>
        <v>5.233918+5.391237i</v>
      </c>
      <c r="FM52" s="1" t="str">
        <f t="shared" si="10"/>
        <v>5.234018+2.746664i</v>
      </c>
      <c r="FN52" s="1">
        <f t="shared" si="12"/>
        <v>9.8000000000000007</v>
      </c>
      <c r="FO52" s="1">
        <f t="shared" si="13"/>
        <v>5.9109311917175962</v>
      </c>
    </row>
    <row r="53" spans="2:171" ht="18" customHeight="1" x14ac:dyDescent="0.25">
      <c r="B53" s="6"/>
      <c r="AN53" s="9"/>
      <c r="AP53" s="8"/>
      <c r="AR53" s="6"/>
      <c r="CD53" s="9"/>
      <c r="CF53" s="8"/>
      <c r="FC53" s="1">
        <f t="shared" si="11"/>
        <v>10</v>
      </c>
      <c r="FD53" s="12" t="str">
        <f t="shared" si="2"/>
        <v>0.0001-2.591682i</v>
      </c>
      <c r="FE53" s="13" t="str">
        <f t="shared" si="3"/>
        <v>0.000001-0.107987i</v>
      </c>
      <c r="FF53" s="13" t="str">
        <f t="shared" si="4"/>
        <v>0.010799+10.798674i</v>
      </c>
      <c r="FG53" s="14" t="str">
        <f t="shared" si="5"/>
        <v>10.798674+0.0001i</v>
      </c>
      <c r="FI53" s="1" t="str">
        <f t="shared" si="6"/>
        <v>0.0108+10.690687i</v>
      </c>
      <c r="FJ53" s="1" t="str">
        <f t="shared" si="7"/>
        <v>0.115557+115.445245i</v>
      </c>
      <c r="FK53" s="1" t="str">
        <f t="shared" si="8"/>
        <v>10.809474+10.690787i</v>
      </c>
      <c r="FL53" s="1" t="str">
        <f t="shared" si="9"/>
        <v>5.345082+5.393613i</v>
      </c>
      <c r="FM53" s="1" t="str">
        <f t="shared" si="10"/>
        <v>5.345182+2.801931i</v>
      </c>
      <c r="FN53" s="1">
        <f t="shared" si="12"/>
        <v>10</v>
      </c>
      <c r="FO53" s="1">
        <f t="shared" si="13"/>
        <v>6.0350466395782725</v>
      </c>
    </row>
    <row r="54" spans="2:171" ht="18" customHeight="1" thickBot="1" x14ac:dyDescent="0.3">
      <c r="B54" s="6"/>
      <c r="C54" s="10" t="str">
        <f>H12 &amp; " | " &amp; AE13</f>
        <v>Enter Customer PO #  | Stage 1</v>
      </c>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1"/>
      <c r="AO54" s="10"/>
      <c r="AP54" s="8"/>
      <c r="AR54" s="6"/>
      <c r="AS54" s="134" t="str">
        <f>H12 &amp; " | " &amp; AE13</f>
        <v>Enter Customer PO #  | Stage 1</v>
      </c>
      <c r="AT54" s="134"/>
      <c r="AU54" s="134"/>
      <c r="AV54" s="134"/>
      <c r="AW54" s="134"/>
      <c r="AX54" s="134"/>
      <c r="AY54" s="134"/>
      <c r="AZ54" s="134"/>
      <c r="BA54" s="134"/>
      <c r="BB54" s="134"/>
      <c r="BC54" s="134"/>
      <c r="BD54" s="134"/>
      <c r="BE54" s="134"/>
      <c r="BF54" s="134"/>
      <c r="BG54" s="134"/>
      <c r="BH54" s="10"/>
      <c r="BI54" s="10"/>
      <c r="BJ54" s="10"/>
      <c r="BK54" s="10"/>
      <c r="BL54" s="10"/>
      <c r="BM54" s="10"/>
      <c r="BN54" s="10"/>
      <c r="BO54" s="10"/>
      <c r="BP54" s="10"/>
      <c r="BQ54" s="10"/>
      <c r="BR54" s="10"/>
      <c r="BS54" s="10"/>
      <c r="BT54" s="10"/>
      <c r="BU54" s="10"/>
      <c r="BV54" s="10"/>
      <c r="BW54" s="10"/>
      <c r="BX54" s="10"/>
      <c r="BY54" s="10"/>
      <c r="BZ54" s="10"/>
      <c r="CA54" s="10"/>
      <c r="CB54" s="10"/>
      <c r="CC54" s="10"/>
      <c r="CD54" s="11"/>
      <c r="CE54" s="10"/>
      <c r="CF54" s="8"/>
      <c r="FC54" s="1">
        <f t="shared" si="11"/>
        <v>10.199999999999999</v>
      </c>
      <c r="FD54" s="12" t="str">
        <f t="shared" si="2"/>
        <v>0.0001-2.540864i</v>
      </c>
      <c r="FE54" s="13" t="str">
        <f t="shared" si="3"/>
        <v>0.000001-0.105869i</v>
      </c>
      <c r="FF54" s="13" t="str">
        <f t="shared" si="4"/>
        <v>0.010799+11.014647i</v>
      </c>
      <c r="FG54" s="14" t="str">
        <f t="shared" si="5"/>
        <v>10.798674+0.0001i</v>
      </c>
      <c r="FI54" s="1" t="str">
        <f t="shared" si="6"/>
        <v>0.0108+10.908778i</v>
      </c>
      <c r="FJ54" s="1" t="str">
        <f t="shared" si="7"/>
        <v>0.115535+117.800338i</v>
      </c>
      <c r="FK54" s="1" t="str">
        <f t="shared" si="8"/>
        <v>10.809474+10.908878i</v>
      </c>
      <c r="FL54" s="1" t="str">
        <f t="shared" si="9"/>
        <v>5.454006+5.393717i</v>
      </c>
      <c r="FM54" s="1" t="str">
        <f t="shared" si="10"/>
        <v>5.454106+2.852853i</v>
      </c>
      <c r="FN54" s="1">
        <f t="shared" si="12"/>
        <v>10.199999999999999</v>
      </c>
      <c r="FO54" s="1">
        <f t="shared" si="13"/>
        <v>6.1551638888696543</v>
      </c>
    </row>
    <row r="55" spans="2:171" ht="18" customHeight="1" x14ac:dyDescent="0.25">
      <c r="B55" s="6"/>
      <c r="AN55" s="9"/>
      <c r="AP55" s="8"/>
      <c r="AR55" s="6"/>
      <c r="CD55" s="9"/>
      <c r="CF55" s="8"/>
      <c r="FC55" s="1">
        <f t="shared" si="11"/>
        <v>10.4</v>
      </c>
      <c r="FD55" s="12" t="str">
        <f t="shared" si="2"/>
        <v>0.0001-2.492002i</v>
      </c>
      <c r="FE55" s="13" t="str">
        <f t="shared" si="3"/>
        <v>0.000001-0.103833i</v>
      </c>
      <c r="FF55" s="13" t="str">
        <f t="shared" si="4"/>
        <v>0.010799+11.230621i</v>
      </c>
      <c r="FG55" s="14" t="str">
        <f t="shared" si="5"/>
        <v>10.798674+0.0001i</v>
      </c>
      <c r="FI55" s="1" t="str">
        <f t="shared" si="6"/>
        <v>0.0108+11.126788i</v>
      </c>
      <c r="FJ55" s="1" t="str">
        <f t="shared" si="7"/>
        <v>0.115513+120.154557i</v>
      </c>
      <c r="FK55" s="1" t="str">
        <f t="shared" si="8"/>
        <v>10.809474+11.126888i</v>
      </c>
      <c r="FL55" s="1" t="str">
        <f t="shared" si="9"/>
        <v>5.560697+5.391687i</v>
      </c>
      <c r="FM55" s="1" t="str">
        <f t="shared" si="10"/>
        <v>5.560797+2.899685i</v>
      </c>
      <c r="FN55" s="1">
        <f t="shared" si="12"/>
        <v>10.4</v>
      </c>
      <c r="FO55" s="1">
        <f t="shared" si="13"/>
        <v>6.2714142244340705</v>
      </c>
    </row>
    <row r="56" spans="2:171" ht="18" customHeight="1" x14ac:dyDescent="0.3">
      <c r="B56" s="6"/>
      <c r="C56" s="81" t="s">
        <v>97</v>
      </c>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
      <c r="AR56" s="6"/>
      <c r="AS56" s="30" t="s">
        <v>98</v>
      </c>
      <c r="CF56" s="8"/>
      <c r="CL56" s="135" t="s">
        <v>99</v>
      </c>
      <c r="CM56" s="135"/>
      <c r="CN56" s="135"/>
      <c r="CO56" s="135" t="s">
        <v>99</v>
      </c>
      <c r="CP56" s="135"/>
      <c r="CQ56" s="135"/>
      <c r="CR56" s="135" t="s">
        <v>100</v>
      </c>
      <c r="CS56" s="135"/>
      <c r="CT56" s="135"/>
      <c r="CU56" s="135"/>
      <c r="CV56" s="135" t="s">
        <v>101</v>
      </c>
      <c r="CW56" s="135"/>
      <c r="CX56" s="135"/>
      <c r="FC56" s="1">
        <f t="shared" si="11"/>
        <v>10.6</v>
      </c>
      <c r="FD56" s="12" t="str">
        <f t="shared" si="2"/>
        <v>0.0001-2.444983i</v>
      </c>
      <c r="FE56" s="13" t="str">
        <f t="shared" si="3"/>
        <v>0.000001-0.101874i</v>
      </c>
      <c r="FF56" s="13" t="str">
        <f t="shared" si="4"/>
        <v>0.010799+11.446594i</v>
      </c>
      <c r="FG56" s="14" t="str">
        <f t="shared" si="5"/>
        <v>10.798674+0.0001i</v>
      </c>
      <c r="FI56" s="1" t="str">
        <f t="shared" si="6"/>
        <v>0.0108+11.34472i</v>
      </c>
      <c r="FJ56" s="1" t="str">
        <f t="shared" si="7"/>
        <v>0.115491+122.507934i</v>
      </c>
      <c r="FK56" s="1" t="str">
        <f t="shared" si="8"/>
        <v>10.809474+11.34482i</v>
      </c>
      <c r="FL56" s="1" t="str">
        <f t="shared" si="9"/>
        <v>5.665163+5.387652i</v>
      </c>
      <c r="FM56" s="1" t="str">
        <f t="shared" si="10"/>
        <v>5.665263+2.942669i</v>
      </c>
      <c r="FN56" s="1">
        <f t="shared" si="12"/>
        <v>10.6</v>
      </c>
      <c r="FO56" s="1">
        <f t="shared" si="13"/>
        <v>6.3839255715218055</v>
      </c>
    </row>
    <row r="57" spans="2:171" ht="18" customHeight="1" x14ac:dyDescent="0.25">
      <c r="B57" s="6"/>
      <c r="C57" s="18"/>
      <c r="D57" s="18"/>
      <c r="E57" s="18"/>
      <c r="F57" s="18"/>
      <c r="G57" s="18"/>
      <c r="H57" s="18"/>
      <c r="I57" s="18"/>
      <c r="J57" s="18"/>
      <c r="K57" s="18"/>
      <c r="L57" s="18"/>
      <c r="M57" s="18"/>
      <c r="N57" s="18"/>
      <c r="O57" s="18"/>
      <c r="P57" s="18"/>
      <c r="Q57" s="18"/>
      <c r="R57" s="18"/>
      <c r="S57" s="18"/>
      <c r="T57" s="18"/>
      <c r="U57" s="18"/>
      <c r="V57" s="18"/>
      <c r="W57" s="18"/>
      <c r="X57" s="86" t="s">
        <v>245</v>
      </c>
      <c r="Y57" s="86"/>
      <c r="Z57" s="86"/>
      <c r="AA57" s="86"/>
      <c r="AB57" s="86"/>
      <c r="AC57" s="18"/>
      <c r="AD57" s="18"/>
      <c r="AE57" s="18"/>
      <c r="AF57" s="18"/>
      <c r="AG57" s="18"/>
      <c r="AH57" s="18"/>
      <c r="AI57" s="18"/>
      <c r="AJ57" s="18"/>
      <c r="AK57" s="18"/>
      <c r="AL57" s="18"/>
      <c r="AM57" s="18"/>
      <c r="AN57" s="18"/>
      <c r="AP57" s="8"/>
      <c r="AR57" s="6"/>
      <c r="CF57" s="8"/>
      <c r="CL57" s="135"/>
      <c r="CM57" s="135"/>
      <c r="CN57" s="135"/>
      <c r="CO57" s="135"/>
      <c r="CP57" s="135"/>
      <c r="CQ57" s="135"/>
      <c r="CR57" s="135"/>
      <c r="CS57" s="135"/>
      <c r="CT57" s="135"/>
      <c r="CU57" s="135"/>
      <c r="CV57" s="135"/>
      <c r="CW57" s="135"/>
      <c r="CX57" s="135"/>
      <c r="FC57" s="1">
        <f t="shared" si="11"/>
        <v>10.8</v>
      </c>
      <c r="FD57" s="12" t="str">
        <f t="shared" si="2"/>
        <v>0.0001-2.399705i</v>
      </c>
      <c r="FE57" s="13" t="str">
        <f t="shared" si="3"/>
        <v>0.000001-0.099988i</v>
      </c>
      <c r="FF57" s="13" t="str">
        <f t="shared" si="4"/>
        <v>0.010799+11.662568i</v>
      </c>
      <c r="FG57" s="14" t="str">
        <f t="shared" si="5"/>
        <v>10.798674+0.0001i</v>
      </c>
      <c r="FI57" s="1" t="str">
        <f t="shared" si="6"/>
        <v>0.0108+11.56258i</v>
      </c>
      <c r="FJ57" s="1" t="str">
        <f t="shared" si="7"/>
        <v>0.115469+124.860533i</v>
      </c>
      <c r="FK57" s="1" t="str">
        <f t="shared" si="8"/>
        <v>10.809474+11.56268i</v>
      </c>
      <c r="FL57" s="1" t="str">
        <f t="shared" si="9"/>
        <v>5.767418+5.381735i</v>
      </c>
      <c r="FM57" s="1" t="str">
        <f t="shared" si="10"/>
        <v>5.767518+2.98203i</v>
      </c>
      <c r="FN57" s="1">
        <f t="shared" si="12"/>
        <v>10.8</v>
      </c>
      <c r="FO57" s="1">
        <f t="shared" si="13"/>
        <v>6.492824254607851</v>
      </c>
    </row>
    <row r="58" spans="2:171" ht="18" customHeight="1" x14ac:dyDescent="0.3">
      <c r="B58" s="6"/>
      <c r="C58" s="18"/>
      <c r="D58" s="18"/>
      <c r="E58" s="18"/>
      <c r="F58" s="18"/>
      <c r="G58" s="18"/>
      <c r="H58" s="18"/>
      <c r="I58" s="86" t="s">
        <v>103</v>
      </c>
      <c r="J58" s="86"/>
      <c r="K58" s="86"/>
      <c r="L58" s="86"/>
      <c r="M58" s="18"/>
      <c r="N58" s="86" t="s">
        <v>246</v>
      </c>
      <c r="O58" s="86"/>
      <c r="P58" s="86"/>
      <c r="Q58" s="86"/>
      <c r="R58" s="18"/>
      <c r="S58" s="86" t="s">
        <v>247</v>
      </c>
      <c r="T58" s="86"/>
      <c r="U58" s="86"/>
      <c r="V58" s="86"/>
      <c r="W58" s="18"/>
      <c r="X58" s="86"/>
      <c r="Y58" s="86"/>
      <c r="Z58" s="86"/>
      <c r="AA58" s="86"/>
      <c r="AB58" s="86"/>
      <c r="AC58" s="18"/>
      <c r="AD58" s="18"/>
      <c r="AE58" s="18"/>
      <c r="AF58" s="18"/>
      <c r="AG58" s="18"/>
      <c r="AH58" s="18"/>
      <c r="AI58" s="18"/>
      <c r="AJ58" s="18"/>
      <c r="AK58" s="18"/>
      <c r="AL58" s="18"/>
      <c r="AM58" s="18"/>
      <c r="AN58" s="18"/>
      <c r="AP58" s="8"/>
      <c r="AR58" s="6"/>
      <c r="AS58" s="136" t="str">
        <f>S17&amp;"kV, "&amp;S20&amp;"Hz C-High-Pass Filter, Wye-Connected"</f>
        <v>12.47kV, 60Hz C-High-Pass Filter, Wye-Connected</v>
      </c>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8"/>
      <c r="CL58" s="135"/>
      <c r="CM58" s="135"/>
      <c r="CN58" s="135"/>
      <c r="CO58" s="135"/>
      <c r="CP58" s="135"/>
      <c r="CQ58" s="135"/>
      <c r="CR58" s="135"/>
      <c r="CS58" s="135"/>
      <c r="CT58" s="135"/>
      <c r="CU58" s="135"/>
      <c r="CV58" s="135"/>
      <c r="CW58" s="135"/>
      <c r="CX58" s="135"/>
      <c r="FC58" s="1">
        <f t="shared" si="11"/>
        <v>11</v>
      </c>
      <c r="FD58" s="12" t="str">
        <f t="shared" si="2"/>
        <v>0.0001-2.356074i</v>
      </c>
      <c r="FE58" s="13" t="str">
        <f t="shared" si="3"/>
        <v>0.000001-0.09817i</v>
      </c>
      <c r="FF58" s="13" t="str">
        <f t="shared" si="4"/>
        <v>0.010799+11.878541i</v>
      </c>
      <c r="FG58" s="14" t="str">
        <f t="shared" si="5"/>
        <v>10.798674+0.0001i</v>
      </c>
      <c r="FI58" s="1" t="str">
        <f t="shared" si="6"/>
        <v>0.0108+11.780371i</v>
      </c>
      <c r="FJ58" s="1" t="str">
        <f t="shared" si="7"/>
        <v>0.115448+127.212387i</v>
      </c>
      <c r="FK58" s="1" t="str">
        <f t="shared" si="8"/>
        <v>10.809474+11.780471i</v>
      </c>
      <c r="FL58" s="1" t="str">
        <f t="shared" si="9"/>
        <v>5.867479+5.374056i</v>
      </c>
      <c r="FM58" s="1" t="str">
        <f t="shared" si="10"/>
        <v>5.867579+3.017982i</v>
      </c>
      <c r="FN58" s="1">
        <f t="shared" si="12"/>
        <v>11</v>
      </c>
      <c r="FO58" s="1">
        <f t="shared" si="13"/>
        <v>6.5982345118648977</v>
      </c>
    </row>
    <row r="59" spans="2:171" ht="18" customHeight="1" x14ac:dyDescent="0.3">
      <c r="B59" s="6"/>
      <c r="C59" s="86" t="s">
        <v>105</v>
      </c>
      <c r="D59" s="86"/>
      <c r="E59" s="86"/>
      <c r="F59" s="86"/>
      <c r="G59" s="86"/>
      <c r="H59" s="17"/>
      <c r="I59" s="86"/>
      <c r="J59" s="86"/>
      <c r="K59" s="86"/>
      <c r="L59" s="86"/>
      <c r="M59" s="49"/>
      <c r="N59" s="86"/>
      <c r="O59" s="86"/>
      <c r="P59" s="86"/>
      <c r="Q59" s="86"/>
      <c r="R59" s="18"/>
      <c r="S59" s="86"/>
      <c r="T59" s="86"/>
      <c r="U59" s="86"/>
      <c r="V59" s="86"/>
      <c r="W59" s="18"/>
      <c r="X59" s="86"/>
      <c r="Y59" s="86"/>
      <c r="Z59" s="86"/>
      <c r="AA59" s="86"/>
      <c r="AB59" s="86"/>
      <c r="AC59" s="18"/>
      <c r="AD59" s="86" t="s">
        <v>248</v>
      </c>
      <c r="AE59" s="86"/>
      <c r="AF59" s="86"/>
      <c r="AG59" s="86"/>
      <c r="AH59" s="86"/>
      <c r="AI59" s="18"/>
      <c r="AJ59" s="86" t="s">
        <v>106</v>
      </c>
      <c r="AK59" s="86"/>
      <c r="AL59" s="86"/>
      <c r="AM59" s="86"/>
      <c r="AN59" s="86"/>
      <c r="AP59" s="8"/>
      <c r="AR59" s="6"/>
      <c r="AS59" s="97" t="str">
        <f>FIXED(S18,0)&amp;" Kvar 3-Phase, "&amp;FIXED(S19,1)&amp;" Tuning"</f>
        <v>6,000 Kvar 3-Phase, 5.0 Tuning</v>
      </c>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c r="CC59" s="97"/>
      <c r="CD59" s="97"/>
      <c r="CE59" s="97"/>
      <c r="CF59" s="8"/>
      <c r="CL59" s="135"/>
      <c r="CM59" s="135"/>
      <c r="CN59" s="135"/>
      <c r="CO59" s="135"/>
      <c r="CP59" s="135"/>
      <c r="CQ59" s="135"/>
      <c r="CR59" s="135"/>
      <c r="CS59" s="135"/>
      <c r="CT59" s="135"/>
      <c r="CU59" s="135"/>
      <c r="CV59" s="135"/>
      <c r="CW59" s="135"/>
      <c r="CX59" s="135"/>
      <c r="FC59" s="1">
        <f t="shared" si="11"/>
        <v>11.2</v>
      </c>
      <c r="FD59" s="12" t="str">
        <f t="shared" si="2"/>
        <v>0.0001-2.314001i</v>
      </c>
      <c r="FE59" s="13" t="str">
        <f t="shared" si="3"/>
        <v>0.000001-0.096417i</v>
      </c>
      <c r="FF59" s="13" t="str">
        <f t="shared" si="4"/>
        <v>0.010799+12.094514i</v>
      </c>
      <c r="FG59" s="14" t="str">
        <f t="shared" si="5"/>
        <v>10.798674+0.0001i</v>
      </c>
      <c r="FI59" s="1" t="str">
        <f t="shared" si="6"/>
        <v>0.0108+11.998097i</v>
      </c>
      <c r="FJ59" s="1" t="str">
        <f t="shared" si="7"/>
        <v>0.115426+129.563539i</v>
      </c>
      <c r="FK59" s="1" t="str">
        <f t="shared" si="8"/>
        <v>10.809474+11.998197i</v>
      </c>
      <c r="FL59" s="1" t="str">
        <f t="shared" si="9"/>
        <v>5.965368+5.364728i</v>
      </c>
      <c r="FM59" s="1" t="str">
        <f t="shared" si="10"/>
        <v>5.965468+3.050727i</v>
      </c>
      <c r="FN59" s="1">
        <f t="shared" si="12"/>
        <v>11.2</v>
      </c>
      <c r="FO59" s="1">
        <f t="shared" si="13"/>
        <v>6.7002793738435269</v>
      </c>
    </row>
    <row r="60" spans="2:171" ht="18" customHeight="1" x14ac:dyDescent="0.25">
      <c r="B60" s="6"/>
      <c r="C60" s="87"/>
      <c r="D60" s="87"/>
      <c r="E60" s="87"/>
      <c r="F60" s="87"/>
      <c r="G60" s="87"/>
      <c r="H60" s="17"/>
      <c r="I60" s="87"/>
      <c r="J60" s="87"/>
      <c r="K60" s="87"/>
      <c r="L60" s="87"/>
      <c r="M60" s="49"/>
      <c r="N60" s="87"/>
      <c r="O60" s="87"/>
      <c r="P60" s="87"/>
      <c r="Q60" s="87"/>
      <c r="R60" s="18"/>
      <c r="S60" s="87"/>
      <c r="T60" s="87"/>
      <c r="U60" s="87"/>
      <c r="V60" s="87"/>
      <c r="W60" s="18"/>
      <c r="X60" s="87"/>
      <c r="Y60" s="87"/>
      <c r="Z60" s="87"/>
      <c r="AA60" s="87"/>
      <c r="AB60" s="87"/>
      <c r="AC60" s="18"/>
      <c r="AD60" s="87"/>
      <c r="AE60" s="87"/>
      <c r="AF60" s="87"/>
      <c r="AG60" s="87"/>
      <c r="AH60" s="87"/>
      <c r="AI60" s="17"/>
      <c r="AJ60" s="87"/>
      <c r="AK60" s="87"/>
      <c r="AL60" s="87"/>
      <c r="AM60" s="87"/>
      <c r="AN60" s="87"/>
      <c r="AP60" s="8"/>
      <c r="AR60" s="6"/>
      <c r="CF60" s="8"/>
      <c r="CL60" s="107">
        <f t="shared" ref="CL60:CL75" si="14">C61</f>
        <v>1</v>
      </c>
      <c r="CM60" s="107"/>
      <c r="CN60" s="107"/>
      <c r="CO60" s="107">
        <f t="shared" ref="CO60:CO75" si="15">I61</f>
        <v>278.12414534767834</v>
      </c>
      <c r="CP60" s="107"/>
      <c r="CQ60" s="107"/>
      <c r="CR60" s="107">
        <f t="shared" ref="CR60:CR75" si="16">X61</f>
        <v>278.12414534767834</v>
      </c>
      <c r="CS60" s="107"/>
      <c r="CT60" s="107"/>
      <c r="CU60" s="107"/>
      <c r="CV60" s="107">
        <f t="shared" ref="CV60:CV75" si="17">H114</f>
        <v>417.1862180215175</v>
      </c>
      <c r="CW60" s="107"/>
      <c r="CX60" s="107"/>
      <c r="FC60" s="1">
        <f t="shared" si="11"/>
        <v>11.4</v>
      </c>
      <c r="FD60" s="12" t="str">
        <f t="shared" si="2"/>
        <v>0.0001-2.273405i</v>
      </c>
      <c r="FE60" s="13" t="str">
        <f t="shared" si="3"/>
        <v>0.000001-0.094725i</v>
      </c>
      <c r="FF60" s="13" t="str">
        <f t="shared" si="4"/>
        <v>0.010799+12.310488i</v>
      </c>
      <c r="FG60" s="14" t="str">
        <f t="shared" si="5"/>
        <v>10.798674+0.0001i</v>
      </c>
      <c r="FI60" s="1" t="str">
        <f t="shared" si="6"/>
        <v>0.0108+12.215763i</v>
      </c>
      <c r="FJ60" s="1" t="str">
        <f t="shared" si="7"/>
        <v>0.115404+131.914043i</v>
      </c>
      <c r="FK60" s="1" t="str">
        <f t="shared" si="8"/>
        <v>10.809474+12.215863i</v>
      </c>
      <c r="FL60" s="1" t="str">
        <f t="shared" si="9"/>
        <v>6.061108+5.353857i</v>
      </c>
      <c r="FM60" s="1" t="str">
        <f t="shared" si="10"/>
        <v>6.061208+3.080452i</v>
      </c>
      <c r="FN60" s="1">
        <f t="shared" si="12"/>
        <v>11.4</v>
      </c>
      <c r="FO60" s="1">
        <f t="shared" si="13"/>
        <v>6.7990754477037534</v>
      </c>
    </row>
    <row r="61" spans="2:171" ht="18" customHeight="1" x14ac:dyDescent="0.25">
      <c r="B61" s="6"/>
      <c r="C61" s="75">
        <f>J24</f>
        <v>1</v>
      </c>
      <c r="D61" s="75"/>
      <c r="E61" s="75"/>
      <c r="F61" s="75"/>
      <c r="G61" s="75"/>
      <c r="H61" s="24"/>
      <c r="I61" s="131">
        <f>J25</f>
        <v>278.12414534767834</v>
      </c>
      <c r="J61" s="131"/>
      <c r="K61" s="131"/>
      <c r="L61" s="131"/>
      <c r="M61" s="50"/>
      <c r="N61" s="209">
        <f>($AJ$30/J24)*J25</f>
        <v>7208.0924855491339</v>
      </c>
      <c r="O61" s="209"/>
      <c r="P61" s="209"/>
      <c r="Q61" s="209"/>
      <c r="S61" s="209">
        <f>FE286</f>
        <v>300.3371868978806</v>
      </c>
      <c r="T61" s="209"/>
      <c r="U61" s="209"/>
      <c r="V61" s="209"/>
      <c r="X61" s="209">
        <f>FE282</f>
        <v>278.12414534767834</v>
      </c>
      <c r="Y61" s="209"/>
      <c r="Z61" s="209"/>
      <c r="AA61" s="209"/>
      <c r="AB61" s="209"/>
      <c r="AD61" s="131">
        <f>FE283</f>
        <v>0</v>
      </c>
      <c r="AE61" s="131"/>
      <c r="AF61" s="131"/>
      <c r="AG61" s="131"/>
      <c r="AH61" s="131"/>
      <c r="AI61" s="24"/>
      <c r="AJ61" s="133">
        <f>(VLOOKUP(J24+0.1,'C-HP Filter Design'!$FN$5:$FO$254,2)*J25)/((($S$17*1000)/1.73205))</f>
        <v>1.0011850723435669</v>
      </c>
      <c r="AK61" s="133"/>
      <c r="AL61" s="133"/>
      <c r="AM61" s="133"/>
      <c r="AN61" s="133"/>
      <c r="AP61" s="8"/>
      <c r="AR61" s="6"/>
      <c r="BK61" s="24" t="str">
        <f>"Fundamental Current "&amp;ROUND(J25,1)&amp;" amps/phase"</f>
        <v>Fundamental Current 278.1 amps/phase</v>
      </c>
      <c r="CC61" s="17"/>
      <c r="CF61" s="8"/>
      <c r="CL61" s="107">
        <f t="shared" si="14"/>
        <v>2</v>
      </c>
      <c r="CM61" s="107"/>
      <c r="CN61" s="107"/>
      <c r="CO61" s="107">
        <f t="shared" si="15"/>
        <v>0</v>
      </c>
      <c r="CP61" s="107"/>
      <c r="CQ61" s="107"/>
      <c r="CR61" s="107">
        <f t="shared" si="16"/>
        <v>0</v>
      </c>
      <c r="CS61" s="107"/>
      <c r="CT61" s="107"/>
      <c r="CU61" s="107"/>
      <c r="CV61" s="107">
        <f t="shared" si="17"/>
        <v>0</v>
      </c>
      <c r="CW61" s="107"/>
      <c r="CX61" s="107"/>
      <c r="FC61" s="1">
        <f t="shared" si="11"/>
        <v>11.6</v>
      </c>
      <c r="FD61" s="12" t="str">
        <f t="shared" si="2"/>
        <v>0.0001-2.234208i</v>
      </c>
      <c r="FE61" s="13" t="str">
        <f t="shared" si="3"/>
        <v>0.000001-0.093092i</v>
      </c>
      <c r="FF61" s="13" t="str">
        <f t="shared" si="4"/>
        <v>0.010799+12.526461i</v>
      </c>
      <c r="FG61" s="14" t="str">
        <f t="shared" si="5"/>
        <v>10.798674+0.0001i</v>
      </c>
      <c r="FI61" s="1" t="str">
        <f t="shared" si="6"/>
        <v>0.0108+12.433369i</v>
      </c>
      <c r="FJ61" s="1" t="str">
        <f t="shared" si="7"/>
        <v>0.115382+134.2639i</v>
      </c>
      <c r="FK61" s="1" t="str">
        <f t="shared" si="8"/>
        <v>10.809474+12.433469i</v>
      </c>
      <c r="FL61" s="1" t="str">
        <f t="shared" si="9"/>
        <v>6.154725+5.341547i</v>
      </c>
      <c r="FM61" s="1" t="str">
        <f t="shared" si="10"/>
        <v>6.154825+3.107339i</v>
      </c>
      <c r="FN61" s="1">
        <f t="shared" si="12"/>
        <v>11.6</v>
      </c>
      <c r="FO61" s="1">
        <f t="shared" si="13"/>
        <v>6.8947390408590525</v>
      </c>
    </row>
    <row r="62" spans="2:171" ht="18" customHeight="1" x14ac:dyDescent="0.25">
      <c r="B62" s="6"/>
      <c r="C62" s="75">
        <f>L24</f>
        <v>2</v>
      </c>
      <c r="D62" s="75"/>
      <c r="E62" s="75"/>
      <c r="F62" s="75"/>
      <c r="G62" s="75"/>
      <c r="H62" s="24"/>
      <c r="I62" s="124">
        <f>L25</f>
        <v>0</v>
      </c>
      <c r="J62" s="124"/>
      <c r="K62" s="124"/>
      <c r="L62" s="124"/>
      <c r="M62" s="50"/>
      <c r="N62" s="206">
        <f>($AJ$30/L24)*L25</f>
        <v>0</v>
      </c>
      <c r="O62" s="206"/>
      <c r="P62" s="206"/>
      <c r="Q62" s="206"/>
      <c r="S62" s="206">
        <f>FF286</f>
        <v>0</v>
      </c>
      <c r="T62" s="206"/>
      <c r="U62" s="206"/>
      <c r="V62" s="206"/>
      <c r="X62" s="206">
        <f>FF282</f>
        <v>0</v>
      </c>
      <c r="Y62" s="206"/>
      <c r="Z62" s="206"/>
      <c r="AA62" s="206"/>
      <c r="AB62" s="206"/>
      <c r="AD62" s="124">
        <f>FF283</f>
        <v>0</v>
      </c>
      <c r="AE62" s="124"/>
      <c r="AF62" s="124"/>
      <c r="AG62" s="124"/>
      <c r="AH62" s="124"/>
      <c r="AI62" s="24"/>
      <c r="AJ62" s="126">
        <f>(VLOOKUP(L24+0.1,'C-HP Filter Design'!$FN$5:$FO$254,2)*L25)/((($S$17*1000)/1.73205))</f>
        <v>0</v>
      </c>
      <c r="AK62" s="126"/>
      <c r="AL62" s="126"/>
      <c r="AM62" s="126"/>
      <c r="AN62" s="126"/>
      <c r="AP62" s="8"/>
      <c r="AR62" s="6"/>
      <c r="BK62" s="38" t="str">
        <f>"RMS current "&amp;ROUND(I77,2)&amp;" amps/phase"</f>
        <v>RMS current 314.89 amps/phase</v>
      </c>
      <c r="CC62" s="17"/>
      <c r="CF62" s="8"/>
      <c r="CL62" s="107">
        <f t="shared" si="14"/>
        <v>3</v>
      </c>
      <c r="CM62" s="107"/>
      <c r="CN62" s="107"/>
      <c r="CO62" s="107">
        <f t="shared" si="15"/>
        <v>0</v>
      </c>
      <c r="CP62" s="107"/>
      <c r="CQ62" s="107"/>
      <c r="CR62" s="107">
        <f t="shared" si="16"/>
        <v>0</v>
      </c>
      <c r="CS62" s="107"/>
      <c r="CT62" s="107"/>
      <c r="CU62" s="107"/>
      <c r="CV62" s="107">
        <f t="shared" si="17"/>
        <v>0</v>
      </c>
      <c r="CW62" s="107"/>
      <c r="CX62" s="107"/>
      <c r="FC62" s="1">
        <f t="shared" si="11"/>
        <v>11.8</v>
      </c>
      <c r="FD62" s="12" t="str">
        <f t="shared" si="2"/>
        <v>0.0001-2.19634i</v>
      </c>
      <c r="FE62" s="13" t="str">
        <f t="shared" si="3"/>
        <v>0.000001-0.091514i</v>
      </c>
      <c r="FF62" s="13" t="str">
        <f t="shared" si="4"/>
        <v>0.010799+12.742435i</v>
      </c>
      <c r="FG62" s="14" t="str">
        <f t="shared" si="5"/>
        <v>10.798674+0.0001i</v>
      </c>
      <c r="FI62" s="1" t="str">
        <f t="shared" si="6"/>
        <v>0.0108+12.650921i</v>
      </c>
      <c r="FJ62" s="1" t="str">
        <f t="shared" si="7"/>
        <v>0.115361+136.613173i</v>
      </c>
      <c r="FK62" s="1" t="str">
        <f t="shared" si="8"/>
        <v>10.809474+12.651021i</v>
      </c>
      <c r="FL62" s="1" t="str">
        <f t="shared" si="9"/>
        <v>6.246249+5.327895i</v>
      </c>
      <c r="FM62" s="1" t="str">
        <f t="shared" si="10"/>
        <v>6.246349+3.131555i</v>
      </c>
      <c r="FN62" s="1">
        <f t="shared" si="12"/>
        <v>11.8</v>
      </c>
      <c r="FO62" s="1">
        <f t="shared" si="13"/>
        <v>6.9873823816809972</v>
      </c>
    </row>
    <row r="63" spans="2:171" ht="18" customHeight="1" x14ac:dyDescent="0.25">
      <c r="B63" s="6"/>
      <c r="C63" s="75">
        <f>N24</f>
        <v>3</v>
      </c>
      <c r="D63" s="75"/>
      <c r="E63" s="75"/>
      <c r="F63" s="75"/>
      <c r="G63" s="75"/>
      <c r="H63" s="24"/>
      <c r="I63" s="124">
        <f>N25</f>
        <v>0</v>
      </c>
      <c r="J63" s="124"/>
      <c r="K63" s="124"/>
      <c r="L63" s="124"/>
      <c r="M63" s="50"/>
      <c r="N63" s="206">
        <f>($AJ$30/N24)*N25</f>
        <v>0</v>
      </c>
      <c r="O63" s="206"/>
      <c r="P63" s="206"/>
      <c r="Q63" s="206"/>
      <c r="S63" s="206">
        <f>FG286</f>
        <v>0</v>
      </c>
      <c r="T63" s="206"/>
      <c r="U63" s="206"/>
      <c r="V63" s="206"/>
      <c r="X63" s="206">
        <f>FG282</f>
        <v>0</v>
      </c>
      <c r="Y63" s="206"/>
      <c r="Z63" s="206"/>
      <c r="AA63" s="206"/>
      <c r="AB63" s="206"/>
      <c r="AD63" s="124">
        <f>FG283</f>
        <v>0</v>
      </c>
      <c r="AE63" s="124"/>
      <c r="AF63" s="124"/>
      <c r="AG63" s="124"/>
      <c r="AH63" s="124"/>
      <c r="AI63" s="24"/>
      <c r="AJ63" s="126">
        <f>(VLOOKUP(N24+0.1,'C-HP Filter Design'!$FN$5:$FO$254,2)*N25)/((($S$17*1000)/1.73205))</f>
        <v>0</v>
      </c>
      <c r="AK63" s="126"/>
      <c r="AL63" s="126"/>
      <c r="AM63" s="126"/>
      <c r="AN63" s="126"/>
      <c r="AP63" s="8"/>
      <c r="AR63" s="6"/>
      <c r="CC63" s="17"/>
      <c r="CF63" s="8"/>
      <c r="CL63" s="107">
        <f t="shared" si="14"/>
        <v>4</v>
      </c>
      <c r="CM63" s="107"/>
      <c r="CN63" s="107"/>
      <c r="CO63" s="107">
        <f t="shared" si="15"/>
        <v>0</v>
      </c>
      <c r="CP63" s="107"/>
      <c r="CQ63" s="107"/>
      <c r="CR63" s="107">
        <f t="shared" si="16"/>
        <v>0</v>
      </c>
      <c r="CS63" s="107"/>
      <c r="CT63" s="107"/>
      <c r="CU63" s="107"/>
      <c r="CV63" s="107">
        <f t="shared" si="17"/>
        <v>0</v>
      </c>
      <c r="CW63" s="107"/>
      <c r="CX63" s="107"/>
      <c r="FC63" s="1">
        <f t="shared" si="11"/>
        <v>12</v>
      </c>
      <c r="FD63" s="12" t="str">
        <f t="shared" si="2"/>
        <v>0.0001-2.159735i</v>
      </c>
      <c r="FE63" s="13" t="str">
        <f t="shared" si="3"/>
        <v>0.000001-0.089989i</v>
      </c>
      <c r="FF63" s="13" t="str">
        <f t="shared" si="4"/>
        <v>0.010799+12.958408i</v>
      </c>
      <c r="FG63" s="14" t="str">
        <f t="shared" si="5"/>
        <v>10.798674+0.0001i</v>
      </c>
      <c r="FI63" s="1" t="str">
        <f t="shared" si="6"/>
        <v>0.0108+12.868419i</v>
      </c>
      <c r="FJ63" s="1" t="str">
        <f t="shared" si="7"/>
        <v>0.115339+138.961863i</v>
      </c>
      <c r="FK63" s="1" t="str">
        <f t="shared" si="8"/>
        <v>10.809474+12.868519i</v>
      </c>
      <c r="FL63" s="1" t="str">
        <f t="shared" si="9"/>
        <v>6.33571+5.312993i</v>
      </c>
      <c r="FM63" s="1" t="str">
        <f t="shared" si="10"/>
        <v>6.33581+3.153258i</v>
      </c>
      <c r="FN63" s="1">
        <f t="shared" si="12"/>
        <v>12</v>
      </c>
      <c r="FO63" s="1">
        <f t="shared" si="13"/>
        <v>7.0771127142828529</v>
      </c>
    </row>
    <row r="64" spans="2:171" ht="18" customHeight="1" x14ac:dyDescent="0.25">
      <c r="B64" s="6"/>
      <c r="C64" s="75">
        <f>P24</f>
        <v>4</v>
      </c>
      <c r="D64" s="75"/>
      <c r="E64" s="75"/>
      <c r="F64" s="75"/>
      <c r="G64" s="75"/>
      <c r="H64" s="17"/>
      <c r="I64" s="124">
        <f>P25</f>
        <v>0</v>
      </c>
      <c r="J64" s="124"/>
      <c r="K64" s="124"/>
      <c r="L64" s="124"/>
      <c r="M64" s="50"/>
      <c r="N64" s="206">
        <f>($AJ$30/P24)*P25</f>
        <v>0</v>
      </c>
      <c r="O64" s="206"/>
      <c r="P64" s="206"/>
      <c r="Q64" s="206"/>
      <c r="S64" s="206">
        <f>FH286</f>
        <v>0</v>
      </c>
      <c r="T64" s="206"/>
      <c r="U64" s="206"/>
      <c r="V64" s="206"/>
      <c r="X64" s="206">
        <f>FH282</f>
        <v>0</v>
      </c>
      <c r="Y64" s="206"/>
      <c r="Z64" s="206"/>
      <c r="AA64" s="206"/>
      <c r="AB64" s="206"/>
      <c r="AD64" s="124">
        <f>FH283</f>
        <v>0</v>
      </c>
      <c r="AE64" s="124"/>
      <c r="AF64" s="124"/>
      <c r="AG64" s="124"/>
      <c r="AH64" s="124"/>
      <c r="AI64" s="24"/>
      <c r="AJ64" s="126">
        <f>(VLOOKUP(P24+0.1,'C-HP Filter Design'!$FN$5:$FO$254,2)*P25)/((($S$17*1000)/1.73205))</f>
        <v>0</v>
      </c>
      <c r="AK64" s="126"/>
      <c r="AL64" s="126"/>
      <c r="AM64" s="126"/>
      <c r="AN64" s="126"/>
      <c r="AP64" s="8"/>
      <c r="AR64" s="6"/>
      <c r="BK64" s="38" t="str">
        <f>"Reactor: "&amp;ROUND(AJ39,2)&amp;" ohms, "&amp;ROUND(AJ40,2)&amp;" mH"</f>
        <v>Reactor: 1.08 ohms, 2.86 mH</v>
      </c>
      <c r="CC64" s="17"/>
      <c r="CF64" s="8"/>
      <c r="CL64" s="107">
        <f t="shared" si="14"/>
        <v>5</v>
      </c>
      <c r="CM64" s="107"/>
      <c r="CN64" s="107"/>
      <c r="CO64" s="107">
        <f t="shared" si="15"/>
        <v>100</v>
      </c>
      <c r="CP64" s="107"/>
      <c r="CQ64" s="107"/>
      <c r="CR64" s="107">
        <f t="shared" si="16"/>
        <v>90.152305746827381</v>
      </c>
      <c r="CS64" s="107"/>
      <c r="CT64" s="107"/>
      <c r="CU64" s="107"/>
      <c r="CV64" s="107">
        <f t="shared" si="17"/>
        <v>135.22845862024107</v>
      </c>
      <c r="CW64" s="107"/>
      <c r="CX64" s="107"/>
      <c r="FC64" s="1">
        <f t="shared" si="11"/>
        <v>12.2</v>
      </c>
      <c r="FD64" s="12" t="str">
        <f t="shared" si="2"/>
        <v>0.0001-2.124329i</v>
      </c>
      <c r="FE64" s="13" t="str">
        <f t="shared" si="3"/>
        <v>0.000001-0.088514i</v>
      </c>
      <c r="FF64" s="13" t="str">
        <f t="shared" si="4"/>
        <v>0.010799+13.174382i</v>
      </c>
      <c r="FG64" s="14" t="str">
        <f t="shared" si="5"/>
        <v>10.798674+0.0001i</v>
      </c>
      <c r="FI64" s="1" t="str">
        <f t="shared" si="6"/>
        <v>0.0108+13.085868i</v>
      </c>
      <c r="FJ64" s="1" t="str">
        <f t="shared" si="7"/>
        <v>0.115317+141.310024i</v>
      </c>
      <c r="FK64" s="1" t="str">
        <f t="shared" si="8"/>
        <v>10.809474+13.085968i</v>
      </c>
      <c r="FL64" s="1" t="str">
        <f t="shared" si="9"/>
        <v>6.42314+5.296929i</v>
      </c>
      <c r="FM64" s="1" t="str">
        <f t="shared" si="10"/>
        <v>6.42324+3.1726i</v>
      </c>
      <c r="FN64" s="1">
        <f t="shared" si="12"/>
        <v>12.2</v>
      </c>
      <c r="FO64" s="1">
        <f t="shared" si="13"/>
        <v>7.1640353752337091</v>
      </c>
    </row>
    <row r="65" spans="2:171" ht="18" customHeight="1" x14ac:dyDescent="0.25">
      <c r="B65" s="6"/>
      <c r="C65" s="75">
        <f>R24</f>
        <v>5</v>
      </c>
      <c r="D65" s="75"/>
      <c r="E65" s="75"/>
      <c r="F65" s="75"/>
      <c r="G65" s="75"/>
      <c r="H65" s="17"/>
      <c r="I65" s="124">
        <f>R25</f>
        <v>100</v>
      </c>
      <c r="J65" s="124"/>
      <c r="K65" s="124"/>
      <c r="L65" s="124"/>
      <c r="M65" s="50"/>
      <c r="N65" s="206">
        <f>($AJ$30/R24)*R25</f>
        <v>518.33633333333341</v>
      </c>
      <c r="O65" s="206"/>
      <c r="P65" s="206"/>
      <c r="Q65" s="206"/>
      <c r="S65" s="206">
        <f>FI286</f>
        <v>19.470506500981713</v>
      </c>
      <c r="T65" s="206"/>
      <c r="U65" s="206"/>
      <c r="V65" s="206"/>
      <c r="X65" s="206">
        <f>FI282</f>
        <v>90.152305746827381</v>
      </c>
      <c r="Y65" s="206"/>
      <c r="Z65" s="206"/>
      <c r="AA65" s="206"/>
      <c r="AB65" s="206"/>
      <c r="AD65" s="124">
        <f>FI283</f>
        <v>43.273106758477141</v>
      </c>
      <c r="AE65" s="124"/>
      <c r="AF65" s="124"/>
      <c r="AG65" s="124"/>
      <c r="AH65" s="124"/>
      <c r="AI65" s="24"/>
      <c r="AJ65" s="126">
        <f>(VLOOKUP(R24+0.1,'C-HP Filter Design'!$FN$5:$FO$254,2)*R25)/((($S$17*1000)/1.73205))</f>
        <v>3.1265743548628662E-2</v>
      </c>
      <c r="AK65" s="126"/>
      <c r="AL65" s="126"/>
      <c r="AM65" s="126"/>
      <c r="AN65" s="126"/>
      <c r="AP65" s="8"/>
      <c r="AR65" s="6"/>
      <c r="BE65" s="29" t="str">
        <f>"High-Pass Resistor: "&amp;ROUND(AJ45,2)&amp;" ohms/Phase"</f>
        <v>High-Pass Resistor: 10.8 ohms/Phase</v>
      </c>
      <c r="BK65" s="1" t="str">
        <f>"I1= "&amp;ROUND(J25,1)&amp;" amps nominal"</f>
        <v>I1= 278.1 amps nominal</v>
      </c>
      <c r="CC65" s="17"/>
      <c r="CF65" s="8"/>
      <c r="CL65" s="107">
        <f t="shared" si="14"/>
        <v>7</v>
      </c>
      <c r="CM65" s="107"/>
      <c r="CN65" s="107"/>
      <c r="CO65" s="107">
        <f t="shared" si="15"/>
        <v>80</v>
      </c>
      <c r="CP65" s="107"/>
      <c r="CQ65" s="107"/>
      <c r="CR65" s="107">
        <f t="shared" si="16"/>
        <v>65.978308147678234</v>
      </c>
      <c r="CS65" s="107"/>
      <c r="CT65" s="107"/>
      <c r="CU65" s="107"/>
      <c r="CV65" s="107">
        <f t="shared" si="17"/>
        <v>98.967462221517351</v>
      </c>
      <c r="CW65" s="107"/>
      <c r="CX65" s="107"/>
      <c r="FC65" s="1">
        <f t="shared" si="11"/>
        <v>12.4</v>
      </c>
      <c r="FD65" s="12" t="str">
        <f t="shared" si="2"/>
        <v>0.0001-2.090066i</v>
      </c>
      <c r="FE65" s="13" t="str">
        <f t="shared" si="3"/>
        <v>0.000001-0.087086i</v>
      </c>
      <c r="FF65" s="13" t="str">
        <f t="shared" si="4"/>
        <v>0.010799+13.390355i</v>
      </c>
      <c r="FG65" s="14" t="str">
        <f t="shared" si="5"/>
        <v>10.798674+0.0001i</v>
      </c>
      <c r="FI65" s="1" t="str">
        <f t="shared" si="6"/>
        <v>0.0108+13.303269i</v>
      </c>
      <c r="FJ65" s="1" t="str">
        <f t="shared" si="7"/>
        <v>0.115295+143.657666i</v>
      </c>
      <c r="FK65" s="1" t="str">
        <f t="shared" si="8"/>
        <v>10.809474+13.303369i</v>
      </c>
      <c r="FL65" s="1" t="str">
        <f t="shared" si="9"/>
        <v>6.508573+5.279787i</v>
      </c>
      <c r="FM65" s="1" t="str">
        <f t="shared" si="10"/>
        <v>6.508673+3.189721i</v>
      </c>
      <c r="FN65" s="1">
        <f t="shared" si="12"/>
        <v>12.4</v>
      </c>
      <c r="FO65" s="1">
        <f t="shared" si="13"/>
        <v>7.2482511186333767</v>
      </c>
    </row>
    <row r="66" spans="2:171" ht="18" customHeight="1" x14ac:dyDescent="0.25">
      <c r="B66" s="6"/>
      <c r="C66" s="75">
        <f>T24</f>
        <v>7</v>
      </c>
      <c r="D66" s="75"/>
      <c r="E66" s="75"/>
      <c r="F66" s="75"/>
      <c r="G66" s="75"/>
      <c r="H66" s="17"/>
      <c r="I66" s="124">
        <f>T25</f>
        <v>80</v>
      </c>
      <c r="J66" s="124"/>
      <c r="K66" s="124"/>
      <c r="L66" s="124"/>
      <c r="M66" s="50"/>
      <c r="N66" s="206">
        <f>($AJ$30/T24)*T25</f>
        <v>296.19219047619055</v>
      </c>
      <c r="O66" s="206"/>
      <c r="P66" s="206"/>
      <c r="Q66" s="206"/>
      <c r="S66" s="206">
        <f>FJ286</f>
        <v>10.178260215715577</v>
      </c>
      <c r="T66" s="206"/>
      <c r="U66" s="206"/>
      <c r="V66" s="206"/>
      <c r="X66" s="206">
        <f>FJ282</f>
        <v>65.978308147678234</v>
      </c>
      <c r="Y66" s="206"/>
      <c r="Z66" s="206"/>
      <c r="AA66" s="206"/>
      <c r="AB66" s="206"/>
      <c r="AD66" s="124">
        <f>FJ283</f>
        <v>45.242268444122224</v>
      </c>
      <c r="AE66" s="124"/>
      <c r="AF66" s="124"/>
      <c r="AG66" s="124"/>
      <c r="AH66" s="124"/>
      <c r="AI66" s="24"/>
      <c r="AJ66" s="126">
        <f>(VLOOKUP(T24+0.1,'C-HP Filter Design'!$FN$5:$FO$254,2)*T25)/((($S$17*1000)/1.73205))</f>
        <v>4.1141118767336032E-2</v>
      </c>
      <c r="AK66" s="126"/>
      <c r="AL66" s="126"/>
      <c r="AM66" s="126"/>
      <c r="AN66" s="126"/>
      <c r="AP66" s="8"/>
      <c r="AR66" s="6"/>
      <c r="BE66" s="29" t="str">
        <f>ROUND(AJ46,0)&amp;" KW/Phase"</f>
        <v>77 KW/Phase</v>
      </c>
      <c r="CC66" s="17"/>
      <c r="CF66" s="8"/>
      <c r="CL66" s="107">
        <f t="shared" si="14"/>
        <v>11</v>
      </c>
      <c r="CM66" s="107"/>
      <c r="CN66" s="107"/>
      <c r="CO66" s="107">
        <f t="shared" si="15"/>
        <v>60</v>
      </c>
      <c r="CP66" s="107"/>
      <c r="CQ66" s="107"/>
      <c r="CR66" s="107">
        <f t="shared" si="16"/>
        <v>40.543477711040772</v>
      </c>
      <c r="CS66" s="107"/>
      <c r="CT66" s="107"/>
      <c r="CU66" s="107"/>
      <c r="CV66" s="107">
        <f t="shared" si="17"/>
        <v>60.815216566561162</v>
      </c>
      <c r="CW66" s="107"/>
      <c r="CX66" s="107"/>
      <c r="FC66" s="1">
        <f t="shared" si="11"/>
        <v>12.6</v>
      </c>
      <c r="FD66" s="12" t="str">
        <f t="shared" si="2"/>
        <v>0.0001-2.05689i</v>
      </c>
      <c r="FE66" s="13" t="str">
        <f t="shared" si="3"/>
        <v>0.000001-0.085704i</v>
      </c>
      <c r="FF66" s="13" t="str">
        <f t="shared" si="4"/>
        <v>0.010799+13.606329i</v>
      </c>
      <c r="FG66" s="14" t="str">
        <f t="shared" si="5"/>
        <v>10.798674+0.0001i</v>
      </c>
      <c r="FI66" s="1" t="str">
        <f t="shared" si="6"/>
        <v>0.0108+13.520625i</v>
      </c>
      <c r="FJ66" s="1" t="str">
        <f t="shared" si="7"/>
        <v>0.115274+146.004823i</v>
      </c>
      <c r="FK66" s="1" t="str">
        <f t="shared" si="8"/>
        <v>10.809474+13.520725i</v>
      </c>
      <c r="FL66" s="1" t="str">
        <f t="shared" si="9"/>
        <v>6.592044+5.261645i</v>
      </c>
      <c r="FM66" s="1" t="str">
        <f t="shared" si="10"/>
        <v>6.592144+3.204755i</v>
      </c>
      <c r="FN66" s="1">
        <f t="shared" si="12"/>
        <v>12.6</v>
      </c>
      <c r="FO66" s="1">
        <f t="shared" si="13"/>
        <v>7.3298579199573162</v>
      </c>
    </row>
    <row r="67" spans="2:171" ht="18" customHeight="1" x14ac:dyDescent="0.25">
      <c r="B67" s="6"/>
      <c r="C67" s="75">
        <f>V24</f>
        <v>11</v>
      </c>
      <c r="D67" s="75"/>
      <c r="E67" s="75"/>
      <c r="F67" s="75"/>
      <c r="G67" s="75"/>
      <c r="H67" s="17"/>
      <c r="I67" s="124">
        <f>V25</f>
        <v>60</v>
      </c>
      <c r="J67" s="124"/>
      <c r="K67" s="124"/>
      <c r="L67" s="124"/>
      <c r="M67" s="50"/>
      <c r="N67" s="206">
        <f>($AJ$30/V24)*V25</f>
        <v>141.36445454545458</v>
      </c>
      <c r="O67" s="206"/>
      <c r="P67" s="206"/>
      <c r="Q67" s="206"/>
      <c r="S67" s="206">
        <f>FK286</f>
        <v>3.9801434805535236</v>
      </c>
      <c r="T67" s="206"/>
      <c r="U67" s="206"/>
      <c r="V67" s="206"/>
      <c r="X67" s="206">
        <f>FK282</f>
        <v>40.543477711040772</v>
      </c>
      <c r="Y67" s="206"/>
      <c r="Z67" s="206"/>
      <c r="AA67" s="206"/>
      <c r="AB67" s="206"/>
      <c r="AD67" s="124">
        <f>FK283</f>
        <v>44.229248412044484</v>
      </c>
      <c r="AE67" s="124"/>
      <c r="AF67" s="124"/>
      <c r="AG67" s="124"/>
      <c r="AH67" s="124"/>
      <c r="AI67" s="17"/>
      <c r="AJ67" s="126">
        <f>(VLOOKUP(V24+0.1,'C-HP Filter Design'!$FN$5:$FO$254,2)*V25)/((($S$17*1000)/1.73205))</f>
        <v>5.4988638747115938E-2</v>
      </c>
      <c r="AK67" s="126"/>
      <c r="AL67" s="126"/>
      <c r="AM67" s="126"/>
      <c r="AN67" s="126"/>
      <c r="AP67" s="8"/>
      <c r="AR67" s="6"/>
      <c r="BE67" s="29" t="str">
        <f>ROUND(AD77,1)&amp;" RMS Amps"</f>
        <v>84.7 RMS Amps</v>
      </c>
      <c r="CC67" s="17"/>
      <c r="CF67" s="8"/>
      <c r="CL67" s="107">
        <f t="shared" si="14"/>
        <v>13</v>
      </c>
      <c r="CM67" s="107"/>
      <c r="CN67" s="107"/>
      <c r="CO67" s="107">
        <f t="shared" si="15"/>
        <v>30</v>
      </c>
      <c r="CP67" s="107"/>
      <c r="CQ67" s="107"/>
      <c r="CR67" s="107">
        <f t="shared" si="16"/>
        <v>18.359498403628404</v>
      </c>
      <c r="CS67" s="107"/>
      <c r="CT67" s="107"/>
      <c r="CU67" s="107"/>
      <c r="CV67" s="107">
        <f t="shared" si="17"/>
        <v>27.539247605442604</v>
      </c>
      <c r="CW67" s="107"/>
      <c r="CX67" s="107"/>
      <c r="FC67" s="1">
        <f t="shared" si="11"/>
        <v>12.8</v>
      </c>
      <c r="FD67" s="12" t="str">
        <f t="shared" si="2"/>
        <v>0.0001-2.024751i</v>
      </c>
      <c r="FE67" s="13" t="str">
        <f t="shared" si="3"/>
        <v>0.000001-0.084365i</v>
      </c>
      <c r="FF67" s="13" t="str">
        <f t="shared" si="4"/>
        <v>0.010799+13.822302i</v>
      </c>
      <c r="FG67" s="14" t="str">
        <f t="shared" si="5"/>
        <v>10.798674+0.0001i</v>
      </c>
      <c r="FI67" s="1" t="str">
        <f t="shared" si="6"/>
        <v>0.0108+13.737937i</v>
      </c>
      <c r="FJ67" s="1" t="str">
        <f t="shared" si="7"/>
        <v>0.115252+148.351504i</v>
      </c>
      <c r="FK67" s="1" t="str">
        <f t="shared" si="8"/>
        <v>10.809474+13.738037i</v>
      </c>
      <c r="FL67" s="1" t="str">
        <f t="shared" si="9"/>
        <v>6.673588+5.242578i</v>
      </c>
      <c r="FM67" s="1" t="str">
        <f t="shared" si="10"/>
        <v>6.673688+3.217827i</v>
      </c>
      <c r="FN67" s="1">
        <f t="shared" si="12"/>
        <v>12.8</v>
      </c>
      <c r="FO67" s="1">
        <f t="shared" si="13"/>
        <v>7.4089487866547588</v>
      </c>
    </row>
    <row r="68" spans="2:171" ht="18" customHeight="1" x14ac:dyDescent="0.25">
      <c r="B68" s="6"/>
      <c r="C68" s="75">
        <f>X24</f>
        <v>13</v>
      </c>
      <c r="D68" s="75"/>
      <c r="E68" s="75"/>
      <c r="F68" s="75"/>
      <c r="G68" s="75"/>
      <c r="H68" s="17"/>
      <c r="I68" s="124">
        <f>X25</f>
        <v>30</v>
      </c>
      <c r="J68" s="124"/>
      <c r="K68" s="124"/>
      <c r="L68" s="124"/>
      <c r="M68" s="50"/>
      <c r="N68" s="206">
        <f>($AJ$30/X24)*X25</f>
        <v>59.808038461538473</v>
      </c>
      <c r="O68" s="206"/>
      <c r="P68" s="206"/>
      <c r="Q68" s="206"/>
      <c r="S68" s="206">
        <f>FL286</f>
        <v>1.5250633148038359</v>
      </c>
      <c r="T68" s="206"/>
      <c r="U68" s="206"/>
      <c r="V68" s="206"/>
      <c r="X68" s="206">
        <f>FL282</f>
        <v>18.359498403628404</v>
      </c>
      <c r="Y68" s="206"/>
      <c r="Z68" s="206"/>
      <c r="AA68" s="206"/>
      <c r="AB68" s="206"/>
      <c r="AD68" s="124">
        <f>FL283</f>
        <v>23.726121013919784</v>
      </c>
      <c r="AE68" s="124"/>
      <c r="AF68" s="124"/>
      <c r="AG68" s="124"/>
      <c r="AH68" s="124"/>
      <c r="AI68" s="17"/>
      <c r="AJ68" s="126">
        <f>(VLOOKUP(X24+0.1,'C-HP Filter Design'!$FN$5:$FO$254,2)*X25)/((($S$17*1000)/1.73205))</f>
        <v>3.1191965071399673E-2</v>
      </c>
      <c r="AK68" s="126"/>
      <c r="AL68" s="126"/>
      <c r="AM68" s="126"/>
      <c r="AN68" s="126"/>
      <c r="AP68" s="8"/>
      <c r="AR68" s="6"/>
      <c r="BK68" s="51" t="str">
        <f>"Aux Capacitor: Qty("&amp;S35*3&amp;"), "&amp;ROUND(AJ34,0)&amp;" kvar, "&amp;S34&amp;" kV, "&amp;ROUND(CA37,2)&amp;" µF/Can"</f>
        <v>Aux Capacitor: Qty(18), 154 kvar, 1 kV, 409.41 µF/Can</v>
      </c>
      <c r="CC68" s="17"/>
      <c r="CF68" s="8"/>
      <c r="CL68" s="107">
        <f t="shared" si="14"/>
        <v>17</v>
      </c>
      <c r="CM68" s="107"/>
      <c r="CN68" s="107"/>
      <c r="CO68" s="107">
        <f t="shared" si="15"/>
        <v>20</v>
      </c>
      <c r="CP68" s="107"/>
      <c r="CQ68" s="107"/>
      <c r="CR68" s="107">
        <f t="shared" si="16"/>
        <v>10.166525905621061</v>
      </c>
      <c r="CS68" s="107"/>
      <c r="CT68" s="107"/>
      <c r="CU68" s="107"/>
      <c r="CV68" s="107">
        <f t="shared" si="17"/>
        <v>15.249788858431591</v>
      </c>
      <c r="CW68" s="107"/>
      <c r="CX68" s="107"/>
      <c r="FC68" s="1">
        <f t="shared" si="11"/>
        <v>13</v>
      </c>
      <c r="FD68" s="12" t="str">
        <f t="shared" si="2"/>
        <v>0.0001-1.993601i</v>
      </c>
      <c r="FE68" s="13" t="str">
        <f t="shared" si="3"/>
        <v>0.000001-0.083067i</v>
      </c>
      <c r="FF68" s="13" t="str">
        <f t="shared" si="4"/>
        <v>0.010799+14.038276i</v>
      </c>
      <c r="FG68" s="14" t="str">
        <f t="shared" si="5"/>
        <v>10.798674+0.0001i</v>
      </c>
      <c r="FI68" s="1" t="str">
        <f t="shared" si="6"/>
        <v>0.0108+13.955209i</v>
      </c>
      <c r="FJ68" s="1" t="str">
        <f t="shared" si="7"/>
        <v>0.11523+150.697754i</v>
      </c>
      <c r="FK68" s="1" t="str">
        <f t="shared" si="8"/>
        <v>10.809474+13.955309i</v>
      </c>
      <c r="FL68" s="1" t="str">
        <f t="shared" si="9"/>
        <v>6.753243+5.222656i</v>
      </c>
      <c r="FM68" s="1" t="str">
        <f t="shared" si="10"/>
        <v>6.753343+3.229055i</v>
      </c>
      <c r="FN68" s="1">
        <f t="shared" si="12"/>
        <v>13</v>
      </c>
      <c r="FO68" s="1">
        <f t="shared" si="13"/>
        <v>7.4856153967909682</v>
      </c>
    </row>
    <row r="69" spans="2:171" ht="18" customHeight="1" x14ac:dyDescent="0.25">
      <c r="B69" s="6"/>
      <c r="C69" s="75">
        <f>Z24</f>
        <v>17</v>
      </c>
      <c r="D69" s="75"/>
      <c r="E69" s="75"/>
      <c r="F69" s="75"/>
      <c r="G69" s="75"/>
      <c r="H69" s="17"/>
      <c r="I69" s="124">
        <f>Z25</f>
        <v>20</v>
      </c>
      <c r="J69" s="124"/>
      <c r="K69" s="124"/>
      <c r="L69" s="124"/>
      <c r="M69" s="50"/>
      <c r="N69" s="124">
        <f>($AJ$30/Z24)*Z25</f>
        <v>30.490372549019614</v>
      </c>
      <c r="O69" s="124"/>
      <c r="P69" s="124"/>
      <c r="Q69" s="124"/>
      <c r="S69" s="206">
        <f>FM286</f>
        <v>0.64579408831592744</v>
      </c>
      <c r="T69" s="206"/>
      <c r="U69" s="206"/>
      <c r="V69" s="206"/>
      <c r="X69" s="124">
        <f>FM282</f>
        <v>10.166525905621061</v>
      </c>
      <c r="Y69" s="124"/>
      <c r="Z69" s="124"/>
      <c r="AA69" s="124"/>
      <c r="AB69" s="124"/>
      <c r="AD69" s="124">
        <f>FM283</f>
        <v>17.22329094599333</v>
      </c>
      <c r="AE69" s="124"/>
      <c r="AF69" s="124"/>
      <c r="AG69" s="124"/>
      <c r="AH69" s="124"/>
      <c r="AI69" s="17"/>
      <c r="AJ69" s="126">
        <f>(VLOOKUP(Z24+0.1,'C-HP Filter Design'!$FN$5:$FO$254,2)*Z25)/((($S$17*1000)/1.73205))</f>
        <v>2.3953890790881983E-2</v>
      </c>
      <c r="AK69" s="126"/>
      <c r="AL69" s="126"/>
      <c r="AM69" s="126"/>
      <c r="AN69" s="126"/>
      <c r="AP69" s="8"/>
      <c r="AR69" s="6"/>
      <c r="BK69" s="38" t="str">
        <f>"Optional Fuse: "&amp;ROUND(BJ36,0)&amp;" (Minimum Amps)"</f>
        <v>Optional Fuse: 83 (Minimum Amps)</v>
      </c>
      <c r="CC69" s="17"/>
      <c r="CF69" s="8"/>
      <c r="CL69" s="107">
        <f t="shared" si="14"/>
        <v>19</v>
      </c>
      <c r="CM69" s="107"/>
      <c r="CN69" s="107"/>
      <c r="CO69" s="107">
        <f t="shared" si="15"/>
        <v>10</v>
      </c>
      <c r="CP69" s="107"/>
      <c r="CQ69" s="107"/>
      <c r="CR69" s="107">
        <f t="shared" si="16"/>
        <v>4.6675861955812286</v>
      </c>
      <c r="CS69" s="107"/>
      <c r="CT69" s="107"/>
      <c r="CU69" s="107"/>
      <c r="CV69" s="107">
        <f t="shared" si="17"/>
        <v>7.0013792933718424</v>
      </c>
      <c r="CW69" s="107"/>
      <c r="CX69" s="107"/>
      <c r="FC69" s="1">
        <f t="shared" si="11"/>
        <v>13.2</v>
      </c>
      <c r="FD69" s="12" t="str">
        <f t="shared" si="2"/>
        <v>0.0001-1.963395i</v>
      </c>
      <c r="FE69" s="13" t="str">
        <f t="shared" si="3"/>
        <v>0.000001-0.081808i</v>
      </c>
      <c r="FF69" s="13" t="str">
        <f t="shared" si="4"/>
        <v>0.010799+14.254249i</v>
      </c>
      <c r="FG69" s="14" t="str">
        <f t="shared" si="5"/>
        <v>10.798674+0.0001i</v>
      </c>
      <c r="FI69" s="1" t="str">
        <f t="shared" si="6"/>
        <v>0.0108+14.172441i</v>
      </c>
      <c r="FJ69" s="1" t="str">
        <f t="shared" si="7"/>
        <v>0.115208+153.043571i</v>
      </c>
      <c r="FK69" s="1" t="str">
        <f t="shared" si="8"/>
        <v>10.809474+14.172541i</v>
      </c>
      <c r="FL69" s="1" t="str">
        <f t="shared" si="9"/>
        <v>6.831045+5.201946i</v>
      </c>
      <c r="FM69" s="1" t="str">
        <f t="shared" si="10"/>
        <v>6.831145+3.238551i</v>
      </c>
      <c r="FN69" s="1">
        <f t="shared" si="12"/>
        <v>13.2</v>
      </c>
      <c r="FO69" s="1">
        <f t="shared" si="13"/>
        <v>7.5599440864748466</v>
      </c>
    </row>
    <row r="70" spans="2:171" ht="18" customHeight="1" x14ac:dyDescent="0.25">
      <c r="B70" s="6"/>
      <c r="C70" s="75">
        <f>AB24</f>
        <v>19</v>
      </c>
      <c r="D70" s="75"/>
      <c r="E70" s="75"/>
      <c r="F70" s="75"/>
      <c r="G70" s="75"/>
      <c r="H70" s="17"/>
      <c r="I70" s="124">
        <f>AB25</f>
        <v>10</v>
      </c>
      <c r="J70" s="124"/>
      <c r="K70" s="124"/>
      <c r="L70" s="124"/>
      <c r="M70" s="50"/>
      <c r="N70" s="124">
        <f>($AJ$30/AB24)*AB25</f>
        <v>13.640429824561407</v>
      </c>
      <c r="O70" s="124"/>
      <c r="P70" s="124"/>
      <c r="Q70" s="124"/>
      <c r="S70" s="206">
        <f>FN286</f>
        <v>0.26528284146215542</v>
      </c>
      <c r="T70" s="206"/>
      <c r="U70" s="206"/>
      <c r="V70" s="206"/>
      <c r="X70" s="124">
        <f>FN282</f>
        <v>4.6675861955812286</v>
      </c>
      <c r="Y70" s="124"/>
      <c r="Z70" s="124"/>
      <c r="AA70" s="124"/>
      <c r="AB70" s="124"/>
      <c r="AD70" s="124">
        <f>FN283</f>
        <v>8.8438475284696967</v>
      </c>
      <c r="AE70" s="124"/>
      <c r="AF70" s="124"/>
      <c r="AG70" s="124"/>
      <c r="AH70" s="124"/>
      <c r="AI70" s="17"/>
      <c r="AJ70" s="126">
        <f>(VLOOKUP(AB24+0.1,'C-HP Filter Design'!$FN$5:$FO$254,2)*AB25)/((($S$17*1000)/1.73205))</f>
        <v>1.2490900778705089E-2</v>
      </c>
      <c r="AK70" s="126"/>
      <c r="AL70" s="126"/>
      <c r="AM70" s="126"/>
      <c r="AN70" s="126"/>
      <c r="AP70" s="8"/>
      <c r="AR70" s="6"/>
      <c r="CC70" s="17"/>
      <c r="CF70" s="8"/>
      <c r="CL70" s="107">
        <f t="shared" si="14"/>
        <v>23</v>
      </c>
      <c r="CM70" s="107"/>
      <c r="CN70" s="107"/>
      <c r="CO70" s="107">
        <f t="shared" si="15"/>
        <v>10</v>
      </c>
      <c r="CP70" s="107"/>
      <c r="CQ70" s="107"/>
      <c r="CR70" s="107">
        <f t="shared" si="16"/>
        <v>3.9936092989388388</v>
      </c>
      <c r="CS70" s="107"/>
      <c r="CT70" s="107"/>
      <c r="CU70" s="107"/>
      <c r="CV70" s="107">
        <f t="shared" si="17"/>
        <v>5.9904139484082579</v>
      </c>
      <c r="CW70" s="107"/>
      <c r="CX70" s="107"/>
      <c r="FD70" s="12"/>
      <c r="FE70" s="13"/>
      <c r="FF70" s="13"/>
      <c r="FG70" s="14"/>
    </row>
    <row r="71" spans="2:171" ht="18" customHeight="1" x14ac:dyDescent="0.25">
      <c r="B71" s="6"/>
      <c r="C71" s="75">
        <f>AD24</f>
        <v>23</v>
      </c>
      <c r="D71" s="75"/>
      <c r="E71" s="75"/>
      <c r="F71" s="75"/>
      <c r="G71" s="75"/>
      <c r="H71" s="17"/>
      <c r="I71" s="124">
        <f>AD25</f>
        <v>10</v>
      </c>
      <c r="J71" s="124"/>
      <c r="K71" s="124"/>
      <c r="L71" s="124"/>
      <c r="M71" s="50"/>
      <c r="N71" s="124">
        <f>($AJ$30/AD24)*AD25</f>
        <v>11.268181159420292</v>
      </c>
      <c r="O71" s="124"/>
      <c r="P71" s="124"/>
      <c r="Q71" s="124"/>
      <c r="S71" s="206">
        <f>FO286</f>
        <v>0.18750297108495129</v>
      </c>
      <c r="T71" s="206"/>
      <c r="U71" s="206"/>
      <c r="V71" s="206"/>
      <c r="X71" s="124">
        <f>FO282</f>
        <v>3.9936092989388388</v>
      </c>
      <c r="Y71" s="124"/>
      <c r="Z71" s="124"/>
      <c r="AA71" s="124"/>
      <c r="AB71" s="124"/>
      <c r="AD71" s="124">
        <f>FO283</f>
        <v>9.1679378688682913</v>
      </c>
      <c r="AE71" s="124"/>
      <c r="AF71" s="124"/>
      <c r="AG71" s="124"/>
      <c r="AH71" s="124"/>
      <c r="AI71" s="17"/>
      <c r="AJ71" s="126">
        <f>(VLOOKUP(AD24+0.1,'C-HP Filter Design'!$FN$5:$FO$254,2)*AD25)/((($S$17*1000)/1.73205))</f>
        <v>1.3202203841948749E-2</v>
      </c>
      <c r="AK71" s="126"/>
      <c r="AL71" s="126"/>
      <c r="AM71" s="126"/>
      <c r="AN71" s="126"/>
      <c r="AP71" s="8"/>
      <c r="AR71" s="6"/>
      <c r="CC71" s="17"/>
      <c r="CF71" s="8"/>
      <c r="CL71" s="107">
        <f t="shared" si="14"/>
        <v>25</v>
      </c>
      <c r="CM71" s="107"/>
      <c r="CN71" s="107"/>
      <c r="CO71" s="107">
        <f t="shared" si="15"/>
        <v>10</v>
      </c>
      <c r="CP71" s="107"/>
      <c r="CQ71" s="107"/>
      <c r="CR71" s="107">
        <f t="shared" si="16"/>
        <v>3.7190359014144887</v>
      </c>
      <c r="CS71" s="107"/>
      <c r="CT71" s="107"/>
      <c r="CU71" s="107"/>
      <c r="CV71" s="107">
        <f t="shared" si="17"/>
        <v>5.5785538521217326</v>
      </c>
      <c r="CW71" s="107"/>
      <c r="CX71" s="107"/>
      <c r="FC71" s="1">
        <f>ROUND(FC69+0.2,1)</f>
        <v>13.4</v>
      </c>
      <c r="FD71" s="12" t="str">
        <f t="shared" ref="FD71:FD133" si="18">COMPLEX(ROUND(0.0001,6),ROUND(-$AJ$30/FC71,6))</f>
        <v>0.0001-1.934091i</v>
      </c>
      <c r="FE71" s="13" t="str">
        <f t="shared" ref="FE71:FE133" si="19">COMPLEX(ROUND(0.000001,6),ROUND(-$AJ$36/FC71,6))</f>
        <v>0.000001-0.080587i</v>
      </c>
      <c r="FF71" s="13" t="str">
        <f t="shared" ref="FF71:FF133" si="20">COMPLEX(ROUND($AJ$39/$S$39,6),ROUND($AJ$39*FC71,6))</f>
        <v>0.010799+14.470223i</v>
      </c>
      <c r="FG71" s="14" t="str">
        <f t="shared" ref="FG71:FG133" si="21">COMPLEX(ROUND($AJ$45,6),ROUND(0.0001,6))</f>
        <v>10.798674+0.0001i</v>
      </c>
      <c r="FI71" s="1" t="str">
        <f t="shared" ref="FI71:FI133" si="22">COMPLEX(ROUND(IMREAL(IMSUM(FF71,FE71)),6),ROUND(IMAGINARY(IMSUM(FF71,FE71)),6))</f>
        <v>0.0108+14.389636i</v>
      </c>
      <c r="FJ71" s="1" t="str">
        <f t="shared" ref="FJ71:FJ133" si="23">COMPLEX(ROUND(IMREAL(IMPRODUCT(FI71,FG71)),6),ROUND(IMAGINARY(IMPRODUCT(FI71,FG71)),6))</f>
        <v>0.115187+155.388989i</v>
      </c>
      <c r="FK71" s="1" t="str">
        <f t="shared" ref="FK71:FK133" si="24">COMPLEX(ROUND(IMREAL(IMSUM(FG71,FI71)),6),ROUND(IMAGINARY(IMSUM(FG71,FI71)),6))</f>
        <v>10.809474+14.389736i</v>
      </c>
      <c r="FL71" s="1" t="str">
        <f t="shared" ref="FL71:FL133" si="25">COMPLEX(ROUND(IMREAL(IMDIV(FJ71,FK71)),6),ROUND(IMAGINARY(IMDIV(FJ71,FK71)),6))</f>
        <v>6.907033+5.180512i</v>
      </c>
      <c r="FM71" s="1" t="str">
        <f t="shared" ref="FM71:FM133" si="26">COMPLEX(ROUND(IMREAL(IMSUM(FL71,FD71)),6),ROUND(IMAGINARY(IMSUM(FL71,FD71)),6))</f>
        <v>6.907133+3.246421i</v>
      </c>
      <c r="FN71" s="1">
        <f t="shared" ref="FN71:FN102" si="27">FC71</f>
        <v>13.4</v>
      </c>
      <c r="FO71" s="1">
        <f t="shared" ref="FO71:FO102" si="28">IMABS(FM71)</f>
        <v>7.6320204132935858</v>
      </c>
    </row>
    <row r="72" spans="2:171" ht="18" customHeight="1" x14ac:dyDescent="0.25">
      <c r="B72" s="6"/>
      <c r="C72" s="75">
        <f>AF24</f>
        <v>25</v>
      </c>
      <c r="D72" s="75"/>
      <c r="E72" s="75"/>
      <c r="F72" s="75"/>
      <c r="G72" s="75"/>
      <c r="H72" s="17"/>
      <c r="I72" s="124">
        <f>AF25</f>
        <v>10</v>
      </c>
      <c r="J72" s="124"/>
      <c r="K72" s="124"/>
      <c r="L72" s="124"/>
      <c r="M72" s="50"/>
      <c r="N72" s="124">
        <f>($AJ$30/AF24)*AF25</f>
        <v>10.36672666666667</v>
      </c>
      <c r="O72" s="124"/>
      <c r="P72" s="124"/>
      <c r="Q72" s="124"/>
      <c r="S72" s="206">
        <f>FP286</f>
        <v>0.16064261938951788</v>
      </c>
      <c r="T72" s="206"/>
      <c r="U72" s="206"/>
      <c r="V72" s="206"/>
      <c r="X72" s="124">
        <f>FP282</f>
        <v>3.7190359014144887</v>
      </c>
      <c r="Y72" s="124"/>
      <c r="Z72" s="124"/>
      <c r="AA72" s="124"/>
      <c r="AB72" s="124"/>
      <c r="AD72" s="124">
        <f>FP283</f>
        <v>9.2827136099305658</v>
      </c>
      <c r="AE72" s="124"/>
      <c r="AF72" s="124"/>
      <c r="AG72" s="124"/>
      <c r="AH72" s="124"/>
      <c r="AI72" s="17"/>
      <c r="AJ72" s="126">
        <f>(VLOOKUP(AF24+0.1,'C-HP Filter Design'!$FN$5:$FO$254,2)*AF25)/((($S$17*1000)/1.73205))</f>
        <v>1.3452499051980191E-2</v>
      </c>
      <c r="AK72" s="126"/>
      <c r="AL72" s="126"/>
      <c r="AM72" s="126"/>
      <c r="AN72" s="126"/>
      <c r="AP72" s="8"/>
      <c r="AR72" s="6"/>
      <c r="BK72" s="1" t="str">
        <f>"Capacitor Fuse: "&amp;ROUND(BJ19,0)&amp;" (Minimum Amps)"</f>
        <v>Capacitor Fuse: 100 (Minimum Amps)</v>
      </c>
      <c r="CC72" s="17"/>
      <c r="CF72" s="8"/>
      <c r="CL72" s="107">
        <f t="shared" si="14"/>
        <v>29</v>
      </c>
      <c r="CM72" s="107"/>
      <c r="CN72" s="107"/>
      <c r="CO72" s="107">
        <f t="shared" si="15"/>
        <v>0</v>
      </c>
      <c r="CP72" s="107"/>
      <c r="CQ72" s="107"/>
      <c r="CR72" s="107">
        <f t="shared" si="16"/>
        <v>0</v>
      </c>
      <c r="CS72" s="107"/>
      <c r="CT72" s="107"/>
      <c r="CU72" s="107"/>
      <c r="CV72" s="107">
        <f t="shared" si="17"/>
        <v>0</v>
      </c>
      <c r="CW72" s="107"/>
      <c r="CX72" s="107"/>
      <c r="FC72" s="1">
        <f t="shared" ref="FC72:FC134" si="29">ROUND(FC71+0.2,1)</f>
        <v>13.6</v>
      </c>
      <c r="FD72" s="12" t="str">
        <f t="shared" si="18"/>
        <v>0.0001-1.905648i</v>
      </c>
      <c r="FE72" s="13" t="str">
        <f t="shared" si="19"/>
        <v>0.000001-0.079402i</v>
      </c>
      <c r="FF72" s="13" t="str">
        <f t="shared" si="20"/>
        <v>0.010799+14.686196i</v>
      </c>
      <c r="FG72" s="14" t="str">
        <f t="shared" si="21"/>
        <v>10.798674+0.0001i</v>
      </c>
      <c r="FI72" s="1" t="str">
        <f t="shared" si="22"/>
        <v>0.0108+14.606794i</v>
      </c>
      <c r="FJ72" s="1" t="str">
        <f t="shared" si="23"/>
        <v>0.115165+157.734008i</v>
      </c>
      <c r="FK72" s="1" t="str">
        <f t="shared" si="24"/>
        <v>10.809474+14.606894i</v>
      </c>
      <c r="FL72" s="1" t="str">
        <f t="shared" si="25"/>
        <v>6.981243+5.158413i</v>
      </c>
      <c r="FM72" s="1" t="str">
        <f t="shared" si="26"/>
        <v>6.981343+3.252765i</v>
      </c>
      <c r="FN72" s="1">
        <f t="shared" si="27"/>
        <v>13.6</v>
      </c>
      <c r="FO72" s="1">
        <f t="shared" si="28"/>
        <v>7.7019238005107535</v>
      </c>
    </row>
    <row r="73" spans="2:171" ht="18" customHeight="1" x14ac:dyDescent="0.25">
      <c r="B73" s="6"/>
      <c r="C73" s="75">
        <f>AH24</f>
        <v>29</v>
      </c>
      <c r="D73" s="75"/>
      <c r="E73" s="75"/>
      <c r="F73" s="75"/>
      <c r="G73" s="75"/>
      <c r="H73" s="17"/>
      <c r="I73" s="124">
        <f>AH25</f>
        <v>0</v>
      </c>
      <c r="J73" s="124"/>
      <c r="K73" s="124"/>
      <c r="L73" s="124"/>
      <c r="M73" s="50"/>
      <c r="N73" s="124">
        <f>($AJ$30/AH24)*AH25</f>
        <v>0</v>
      </c>
      <c r="O73" s="124"/>
      <c r="P73" s="124"/>
      <c r="Q73" s="124"/>
      <c r="S73" s="206">
        <f>FQ286</f>
        <v>0</v>
      </c>
      <c r="T73" s="206"/>
      <c r="U73" s="206"/>
      <c r="V73" s="206"/>
      <c r="X73" s="124">
        <f>FQ282</f>
        <v>0</v>
      </c>
      <c r="Y73" s="124"/>
      <c r="Z73" s="124"/>
      <c r="AA73" s="124"/>
      <c r="AB73" s="124"/>
      <c r="AD73" s="124">
        <f>FQ283</f>
        <v>0</v>
      </c>
      <c r="AE73" s="124"/>
      <c r="AF73" s="124"/>
      <c r="AG73" s="124"/>
      <c r="AH73" s="124"/>
      <c r="AI73" s="17"/>
      <c r="AJ73" s="126">
        <f>(VLOOKUP(AH24+0.1,'C-HP Filter Design'!$FN$5:$FO$254,2)*AH25)/((($S$17*1000)/1.73205))</f>
        <v>0</v>
      </c>
      <c r="AK73" s="126"/>
      <c r="AL73" s="126"/>
      <c r="AM73" s="126"/>
      <c r="AN73" s="126"/>
      <c r="AP73" s="8"/>
      <c r="AR73" s="6"/>
      <c r="CC73" s="17"/>
      <c r="CF73" s="8"/>
      <c r="CL73" s="107">
        <f t="shared" si="14"/>
        <v>31</v>
      </c>
      <c r="CM73" s="107"/>
      <c r="CN73" s="107"/>
      <c r="CO73" s="107">
        <f t="shared" si="15"/>
        <v>0</v>
      </c>
      <c r="CP73" s="107"/>
      <c r="CQ73" s="107"/>
      <c r="CR73" s="107">
        <f t="shared" si="16"/>
        <v>0</v>
      </c>
      <c r="CS73" s="107"/>
      <c r="CT73" s="107"/>
      <c r="CU73" s="107"/>
      <c r="CV73" s="107">
        <f t="shared" si="17"/>
        <v>0</v>
      </c>
      <c r="CW73" s="107"/>
      <c r="CX73" s="107"/>
      <c r="FC73" s="1">
        <f t="shared" si="29"/>
        <v>13.8</v>
      </c>
      <c r="FD73" s="12" t="str">
        <f t="shared" si="18"/>
        <v>0.0001-1.87803i</v>
      </c>
      <c r="FE73" s="13" t="str">
        <f t="shared" si="19"/>
        <v>0.000001-0.078251i</v>
      </c>
      <c r="FF73" s="13" t="str">
        <f t="shared" si="20"/>
        <v>0.010799+14.90217i</v>
      </c>
      <c r="FG73" s="14" t="str">
        <f t="shared" si="21"/>
        <v>10.798674+0.0001i</v>
      </c>
      <c r="FI73" s="1" t="str">
        <f t="shared" si="22"/>
        <v>0.0108+14.823919i</v>
      </c>
      <c r="FJ73" s="1" t="str">
        <f t="shared" si="23"/>
        <v>0.115143+160.07867i</v>
      </c>
      <c r="FK73" s="1" t="str">
        <f t="shared" si="24"/>
        <v>10.809474+14.824019i</v>
      </c>
      <c r="FL73" s="1" t="str">
        <f t="shared" si="25"/>
        <v>7.053714+5.135706i</v>
      </c>
      <c r="FM73" s="1" t="str">
        <f t="shared" si="26"/>
        <v>7.053814+3.257676i</v>
      </c>
      <c r="FN73" s="1">
        <f t="shared" si="27"/>
        <v>13.8</v>
      </c>
      <c r="FO73" s="1">
        <f t="shared" si="28"/>
        <v>7.7697326123600936</v>
      </c>
    </row>
    <row r="74" spans="2:171" ht="18" customHeight="1" x14ac:dyDescent="0.25">
      <c r="B74" s="6"/>
      <c r="C74" s="75">
        <f>AJ24</f>
        <v>31</v>
      </c>
      <c r="D74" s="75"/>
      <c r="E74" s="75"/>
      <c r="F74" s="75"/>
      <c r="G74" s="75"/>
      <c r="H74" s="17"/>
      <c r="I74" s="124">
        <f>AJ25</f>
        <v>0</v>
      </c>
      <c r="J74" s="124"/>
      <c r="K74" s="124"/>
      <c r="L74" s="124"/>
      <c r="M74" s="50"/>
      <c r="N74" s="124">
        <f>($AJ$30/AJ24)*AJ25</f>
        <v>0</v>
      </c>
      <c r="O74" s="124"/>
      <c r="P74" s="124"/>
      <c r="Q74" s="124"/>
      <c r="S74" s="206">
        <f>FR286</f>
        <v>0</v>
      </c>
      <c r="T74" s="206"/>
      <c r="U74" s="206"/>
      <c r="V74" s="206"/>
      <c r="X74" s="124">
        <f>FR282</f>
        <v>0</v>
      </c>
      <c r="Y74" s="124"/>
      <c r="Z74" s="124"/>
      <c r="AA74" s="124"/>
      <c r="AB74" s="124"/>
      <c r="AD74" s="124">
        <f>FR283</f>
        <v>0</v>
      </c>
      <c r="AE74" s="124"/>
      <c r="AF74" s="124"/>
      <c r="AG74" s="124"/>
      <c r="AH74" s="124"/>
      <c r="AI74" s="17"/>
      <c r="AJ74" s="126">
        <f>(VLOOKUP(AJ24+0.1,'C-HP Filter Design'!$FN$5:$FO$254,2)*AJ25)/((($S$17*1000)/1.73205))</f>
        <v>0</v>
      </c>
      <c r="AK74" s="126"/>
      <c r="AL74" s="126"/>
      <c r="AM74" s="126"/>
      <c r="AN74" s="126"/>
      <c r="AP74" s="8"/>
      <c r="AR74" s="6"/>
      <c r="CC74" s="17"/>
      <c r="CE74" s="17"/>
      <c r="CF74" s="8"/>
      <c r="CL74" s="107">
        <f t="shared" si="14"/>
        <v>35</v>
      </c>
      <c r="CM74" s="107"/>
      <c r="CN74" s="107"/>
      <c r="CO74" s="107">
        <f t="shared" si="15"/>
        <v>10</v>
      </c>
      <c r="CP74" s="107"/>
      <c r="CQ74" s="107"/>
      <c r="CR74" s="107">
        <f t="shared" si="16"/>
        <v>2.7492861479495123</v>
      </c>
      <c r="CS74" s="107"/>
      <c r="CT74" s="107"/>
      <c r="CU74" s="107"/>
      <c r="CV74" s="107">
        <f t="shared" si="17"/>
        <v>4.1239292219242687</v>
      </c>
      <c r="CW74" s="107"/>
      <c r="CX74" s="107"/>
      <c r="FC74" s="1">
        <f t="shared" si="29"/>
        <v>14</v>
      </c>
      <c r="FD74" s="12" t="str">
        <f t="shared" si="18"/>
        <v>0.0001-1.851201i</v>
      </c>
      <c r="FE74" s="13" t="str">
        <f t="shared" si="19"/>
        <v>0.000001-0.077133i</v>
      </c>
      <c r="FF74" s="13" t="str">
        <f t="shared" si="20"/>
        <v>0.010799+15.118143i</v>
      </c>
      <c r="FG74" s="14" t="str">
        <f t="shared" si="21"/>
        <v>10.798674+0.0001i</v>
      </c>
      <c r="FI74" s="1" t="str">
        <f t="shared" si="22"/>
        <v>0.0108+15.04101i</v>
      </c>
      <c r="FJ74" s="1" t="str">
        <f t="shared" si="23"/>
        <v>0.115122+162.422965i</v>
      </c>
      <c r="FK74" s="1" t="str">
        <f t="shared" si="24"/>
        <v>10.809474+15.04111i</v>
      </c>
      <c r="FL74" s="1" t="str">
        <f t="shared" si="25"/>
        <v>7.124484+5.112442i</v>
      </c>
      <c r="FM74" s="1" t="str">
        <f t="shared" si="26"/>
        <v>7.124584+3.261241i</v>
      </c>
      <c r="FN74" s="1">
        <f t="shared" si="27"/>
        <v>14</v>
      </c>
      <c r="FO74" s="1">
        <f t="shared" si="28"/>
        <v>7.8355210441384813</v>
      </c>
    </row>
    <row r="75" spans="2:171" ht="18" customHeight="1" x14ac:dyDescent="0.25">
      <c r="B75" s="6"/>
      <c r="C75" s="75">
        <f>AL24</f>
        <v>35</v>
      </c>
      <c r="D75" s="75"/>
      <c r="E75" s="75"/>
      <c r="F75" s="75"/>
      <c r="G75" s="75"/>
      <c r="H75" s="17"/>
      <c r="I75" s="124">
        <f>AL25</f>
        <v>10</v>
      </c>
      <c r="J75" s="124"/>
      <c r="K75" s="124"/>
      <c r="L75" s="124"/>
      <c r="M75" s="50"/>
      <c r="N75" s="124">
        <f>($AJ$30/AL24)*AL25</f>
        <v>7.4048047619047637</v>
      </c>
      <c r="O75" s="124"/>
      <c r="P75" s="124"/>
      <c r="Q75" s="124"/>
      <c r="S75" s="206">
        <f>FS286</f>
        <v>8.4824696500730642E-2</v>
      </c>
      <c r="T75" s="206"/>
      <c r="U75" s="206"/>
      <c r="V75" s="206"/>
      <c r="X75" s="124">
        <f>FS282</f>
        <v>2.7492861479495123</v>
      </c>
      <c r="Y75" s="124"/>
      <c r="Z75" s="124"/>
      <c r="AA75" s="124"/>
      <c r="AB75" s="124"/>
      <c r="AD75" s="124">
        <f>FS283</f>
        <v>9.6146464145434365</v>
      </c>
      <c r="AE75" s="124"/>
      <c r="AF75" s="124"/>
      <c r="AG75" s="124"/>
      <c r="AH75" s="124"/>
      <c r="AI75" s="17"/>
      <c r="AJ75" s="126">
        <f>(VLOOKUP(AL24+0.1,'C-HP Filter Design'!$FN$5:$FO$254,2)*AL25)/((($S$17*1000)/1.73205))</f>
        <v>1.4171878909022315E-2</v>
      </c>
      <c r="AK75" s="126"/>
      <c r="AL75" s="126"/>
      <c r="AM75" s="126"/>
      <c r="AN75" s="126"/>
      <c r="AP75" s="8"/>
      <c r="AR75" s="6"/>
      <c r="BK75" s="1" t="str">
        <f>"Main Capacitor: Qty("&amp;S29*3&amp;"), "&amp;ROUND(AJ28,0)&amp;" kvar, "&amp;S28&amp;" kV, "&amp;ROUND(CA19,2)&amp;" µF/Can"</f>
        <v>Main Capacitor: Qty(15), 766 kvar, 9.96 kV, 20.47 µF/Can</v>
      </c>
      <c r="CC75" s="17"/>
      <c r="CE75" s="17"/>
      <c r="CF75" s="8"/>
      <c r="CL75" s="107">
        <f t="shared" si="14"/>
        <v>37</v>
      </c>
      <c r="CM75" s="107"/>
      <c r="CN75" s="107"/>
      <c r="CO75" s="107">
        <f t="shared" si="15"/>
        <v>10</v>
      </c>
      <c r="CP75" s="107"/>
      <c r="CQ75" s="107"/>
      <c r="CR75" s="107">
        <f t="shared" si="16"/>
        <v>2.6108675166147504</v>
      </c>
      <c r="CS75" s="107"/>
      <c r="CT75" s="107"/>
      <c r="CU75" s="107"/>
      <c r="CV75" s="107">
        <f t="shared" si="17"/>
        <v>3.9163012749221258</v>
      </c>
      <c r="CW75" s="107"/>
      <c r="CX75" s="107"/>
      <c r="FC75" s="1">
        <f t="shared" si="29"/>
        <v>14.2</v>
      </c>
      <c r="FD75" s="12" t="str">
        <f t="shared" si="18"/>
        <v>0.0001-1.825128i</v>
      </c>
      <c r="FE75" s="13" t="str">
        <f t="shared" si="19"/>
        <v>0.000001-0.076047i</v>
      </c>
      <c r="FF75" s="13" t="str">
        <f t="shared" si="20"/>
        <v>0.010799+15.334117i</v>
      </c>
      <c r="FG75" s="14" t="str">
        <f t="shared" si="21"/>
        <v>10.798674+0.0001i</v>
      </c>
      <c r="FI75" s="1" t="str">
        <f t="shared" si="22"/>
        <v>0.0108+15.25807i</v>
      </c>
      <c r="FJ75" s="1" t="str">
        <f t="shared" si="23"/>
        <v>0.1151+164.766925i</v>
      </c>
      <c r="FK75" s="1" t="str">
        <f t="shared" si="24"/>
        <v>10.809474+15.25817i</v>
      </c>
      <c r="FL75" s="1" t="str">
        <f t="shared" si="25"/>
        <v>7.193592+5.088673i</v>
      </c>
      <c r="FM75" s="1" t="str">
        <f t="shared" si="26"/>
        <v>7.193692+3.263545i</v>
      </c>
      <c r="FN75" s="1">
        <f t="shared" si="27"/>
        <v>14.2</v>
      </c>
      <c r="FO75" s="1">
        <f t="shared" si="28"/>
        <v>7.8993626678289059</v>
      </c>
    </row>
    <row r="76" spans="2:171" ht="18" customHeight="1" x14ac:dyDescent="0.25">
      <c r="B76" s="6"/>
      <c r="C76" s="75">
        <f>AN24</f>
        <v>37</v>
      </c>
      <c r="D76" s="75"/>
      <c r="E76" s="75"/>
      <c r="F76" s="75"/>
      <c r="G76" s="75"/>
      <c r="H76" s="17"/>
      <c r="I76" s="127">
        <f>AN25</f>
        <v>10</v>
      </c>
      <c r="J76" s="127"/>
      <c r="K76" s="127"/>
      <c r="L76" s="127"/>
      <c r="M76" s="50"/>
      <c r="N76" s="127">
        <f>($AJ$30/AN24)*AN25</f>
        <v>7.0045450450450462</v>
      </c>
      <c r="O76" s="127"/>
      <c r="P76" s="127"/>
      <c r="Q76" s="127"/>
      <c r="S76" s="208">
        <f>FT286</f>
        <v>7.6199746361553813E-2</v>
      </c>
      <c r="T76" s="208"/>
      <c r="U76" s="208"/>
      <c r="V76" s="208"/>
      <c r="X76" s="127">
        <f>FT282</f>
        <v>2.6108675166147504</v>
      </c>
      <c r="Y76" s="127"/>
      <c r="Z76" s="127"/>
      <c r="AA76" s="127"/>
      <c r="AB76" s="127"/>
      <c r="AD76" s="127">
        <f>FT283</f>
        <v>9.6531534127810232</v>
      </c>
      <c r="AE76" s="127"/>
      <c r="AF76" s="127"/>
      <c r="AG76" s="127"/>
      <c r="AH76" s="127"/>
      <c r="AI76" s="17"/>
      <c r="AJ76" s="129">
        <f>(VLOOKUP(AN24+0.1,'C-HP Filter Design'!$FN$5:$FO$254,2)*AN25)/((($S$17*1000)/1.73205))</f>
        <v>1.4254916861631958E-2</v>
      </c>
      <c r="AK76" s="129"/>
      <c r="AL76" s="129"/>
      <c r="AM76" s="129"/>
      <c r="AN76" s="129"/>
      <c r="AP76" s="8"/>
      <c r="AR76" s="6"/>
      <c r="CC76" s="17"/>
      <c r="CE76" s="17"/>
      <c r="CF76" s="8"/>
      <c r="CL76" s="107" t="s">
        <v>11</v>
      </c>
      <c r="CM76" s="107"/>
      <c r="CN76" s="107"/>
      <c r="FC76" s="1">
        <f t="shared" si="29"/>
        <v>14.4</v>
      </c>
      <c r="FD76" s="12" t="str">
        <f t="shared" si="18"/>
        <v>0.0001-1.799779i</v>
      </c>
      <c r="FE76" s="13" t="str">
        <f t="shared" si="19"/>
        <v>0.000001-0.074991i</v>
      </c>
      <c r="FF76" s="13" t="str">
        <f t="shared" si="20"/>
        <v>0.010799+15.55009i</v>
      </c>
      <c r="FG76" s="14" t="str">
        <f t="shared" si="21"/>
        <v>10.798674+0.0001i</v>
      </c>
      <c r="FI76" s="1" t="str">
        <f t="shared" si="22"/>
        <v>0.0108+15.475099i</v>
      </c>
      <c r="FJ76" s="1" t="str">
        <f t="shared" si="23"/>
        <v>0.115078+167.11055i</v>
      </c>
      <c r="FK76" s="1" t="str">
        <f t="shared" si="24"/>
        <v>10.809474+15.475199i</v>
      </c>
      <c r="FL76" s="1" t="str">
        <f t="shared" si="25"/>
        <v>7.261073+5.064446i</v>
      </c>
      <c r="FM76" s="1" t="str">
        <f t="shared" si="26"/>
        <v>7.261173+3.264667i</v>
      </c>
      <c r="FN76" s="1">
        <f t="shared" si="27"/>
        <v>14.4</v>
      </c>
      <c r="FO76" s="1">
        <f t="shared" si="28"/>
        <v>7.9613242589922191</v>
      </c>
    </row>
    <row r="77" spans="2:171" ht="18" customHeight="1" x14ac:dyDescent="0.25">
      <c r="B77" s="6"/>
      <c r="C77" s="17"/>
      <c r="D77" s="17"/>
      <c r="E77" s="17"/>
      <c r="F77" s="17"/>
      <c r="G77" s="17"/>
      <c r="H77" s="29" t="s">
        <v>107</v>
      </c>
      <c r="I77" s="122">
        <f>SQRT(SUM(FE279:FT279))</f>
        <v>314.88575741906226</v>
      </c>
      <c r="J77" s="122"/>
      <c r="K77" s="122"/>
      <c r="L77" s="122"/>
      <c r="M77" s="53"/>
      <c r="N77" s="122">
        <f>BJ21*1000</f>
        <v>7234.5016842014229</v>
      </c>
      <c r="O77" s="122"/>
      <c r="P77" s="122"/>
      <c r="Q77" s="122"/>
      <c r="S77" s="206">
        <f>BJ38*1000</f>
        <v>301.17080235048064</v>
      </c>
      <c r="T77" s="206"/>
      <c r="U77" s="206"/>
      <c r="V77" s="206"/>
      <c r="X77" s="122">
        <f>SQRT(SUM(FE288:FT288))</f>
        <v>303.28824627090063</v>
      </c>
      <c r="Y77" s="122"/>
      <c r="Z77" s="122"/>
      <c r="AA77" s="122"/>
      <c r="AB77" s="122"/>
      <c r="AD77" s="85">
        <f>SQRT(SUM(FE284:FT284))</f>
        <v>84.671600311426957</v>
      </c>
      <c r="AE77" s="85"/>
      <c r="AF77" s="85"/>
      <c r="AG77" s="85"/>
      <c r="AH77" s="85"/>
      <c r="AI77" s="17"/>
      <c r="AJ77" s="207" t="str">
        <f>"Vthd: "&amp;ROUND(SQRT(AJ62^2+AJ63^2+AJ64^2+AJ65^2+AJ66^2+AJ67^2+AJ68^2+AJ69^2+AJ70^2+AJ71^2+AJ72^2+AJ73^2+AJ74^2+AJ75^2+AJ76^2)*100,2)&amp;"%"</f>
        <v>Vthd: 9.03%</v>
      </c>
      <c r="AK77" s="207"/>
      <c r="AL77" s="207"/>
      <c r="AM77" s="207"/>
      <c r="AN77" s="207"/>
      <c r="AP77" s="8"/>
      <c r="AR77" s="6"/>
      <c r="CE77" s="17"/>
      <c r="CF77" s="8"/>
      <c r="FC77" s="1">
        <f t="shared" si="29"/>
        <v>14.6</v>
      </c>
      <c r="FD77" s="12" t="str">
        <f t="shared" si="18"/>
        <v>0.0001-1.775124i</v>
      </c>
      <c r="FE77" s="13" t="str">
        <f t="shared" si="19"/>
        <v>0.000001-0.073964i</v>
      </c>
      <c r="FF77" s="13" t="str">
        <f t="shared" si="20"/>
        <v>0.010799+15.766063i</v>
      </c>
      <c r="FG77" s="14" t="str">
        <f t="shared" si="21"/>
        <v>10.798674+0.0001i</v>
      </c>
      <c r="FI77" s="1" t="str">
        <f t="shared" si="22"/>
        <v>0.0108+15.692099i</v>
      </c>
      <c r="FJ77" s="1" t="str">
        <f t="shared" si="23"/>
        <v>0.115056+169.453863i</v>
      </c>
      <c r="FK77" s="1" t="str">
        <f t="shared" si="24"/>
        <v>10.809474+15.692199i</v>
      </c>
      <c r="FL77" s="1" t="str">
        <f t="shared" si="25"/>
        <v>7.326967+5.039804i</v>
      </c>
      <c r="FM77" s="1" t="str">
        <f t="shared" si="26"/>
        <v>7.327067+3.26468i</v>
      </c>
      <c r="FN77" s="1">
        <f t="shared" si="27"/>
        <v>14.6</v>
      </c>
      <c r="FO77" s="1">
        <f t="shared" si="28"/>
        <v>8.0214740743138364</v>
      </c>
    </row>
    <row r="78" spans="2:171" ht="18" customHeight="1" x14ac:dyDescent="0.25">
      <c r="B78" s="6"/>
      <c r="C78" s="33" t="s">
        <v>108</v>
      </c>
      <c r="AP78" s="8"/>
      <c r="AR78" s="6"/>
      <c r="CE78" s="17"/>
      <c r="CF78" s="8"/>
      <c r="FC78" s="1">
        <f t="shared" si="29"/>
        <v>14.8</v>
      </c>
      <c r="FD78" s="12" t="str">
        <f t="shared" si="18"/>
        <v>0.0001-1.751136i</v>
      </c>
      <c r="FE78" s="13" t="str">
        <f t="shared" si="19"/>
        <v>0.000001-0.072964i</v>
      </c>
      <c r="FF78" s="13" t="str">
        <f t="shared" si="20"/>
        <v>0.010799+15.982037i</v>
      </c>
      <c r="FG78" s="14" t="str">
        <f t="shared" si="21"/>
        <v>10.798674+0.0001i</v>
      </c>
      <c r="FI78" s="1" t="str">
        <f t="shared" si="22"/>
        <v>0.0108+15.909073i</v>
      </c>
      <c r="FJ78" s="1" t="str">
        <f t="shared" si="23"/>
        <v>0.115035+171.796894i</v>
      </c>
      <c r="FK78" s="1" t="str">
        <f t="shared" si="24"/>
        <v>10.809474+15.909173i</v>
      </c>
      <c r="FL78" s="1" t="str">
        <f t="shared" si="25"/>
        <v>7.391312+5.01479i</v>
      </c>
      <c r="FM78" s="1" t="str">
        <f t="shared" si="26"/>
        <v>7.391412+3.263654i</v>
      </c>
      <c r="FN78" s="1">
        <f t="shared" si="27"/>
        <v>14.8</v>
      </c>
      <c r="FO78" s="1">
        <f t="shared" si="28"/>
        <v>8.0798767803389193</v>
      </c>
    </row>
    <row r="79" spans="2:171" ht="18" customHeight="1" x14ac:dyDescent="0.25">
      <c r="B79" s="6"/>
      <c r="AP79" s="8"/>
      <c r="AR79" s="6"/>
      <c r="CE79" s="17"/>
      <c r="CF79" s="8"/>
      <c r="FC79" s="1">
        <f t="shared" si="29"/>
        <v>15</v>
      </c>
      <c r="FD79" s="12" t="str">
        <f t="shared" si="18"/>
        <v>0.0001-1.727788i</v>
      </c>
      <c r="FE79" s="13" t="str">
        <f t="shared" si="19"/>
        <v>0.000001-0.071991i</v>
      </c>
      <c r="FF79" s="13" t="str">
        <f t="shared" si="20"/>
        <v>0.010799+16.19801i</v>
      </c>
      <c r="FG79" s="14" t="str">
        <f t="shared" si="21"/>
        <v>10.798674+0.0001i</v>
      </c>
      <c r="FI79" s="1" t="str">
        <f t="shared" si="22"/>
        <v>0.0108+16.126019i</v>
      </c>
      <c r="FJ79" s="1" t="str">
        <f t="shared" si="23"/>
        <v>0.115013+174.139623i</v>
      </c>
      <c r="FK79" s="1" t="str">
        <f t="shared" si="24"/>
        <v>10.809474+16.126119i</v>
      </c>
      <c r="FL79" s="1" t="str">
        <f t="shared" si="25"/>
        <v>7.454142+4.989442i</v>
      </c>
      <c r="FM79" s="1" t="str">
        <f t="shared" si="26"/>
        <v>7.454242+3.261654i</v>
      </c>
      <c r="FN79" s="1">
        <f t="shared" si="27"/>
        <v>15</v>
      </c>
      <c r="FO79" s="1">
        <f t="shared" si="28"/>
        <v>8.1365908469260013</v>
      </c>
    </row>
    <row r="80" spans="2:171" ht="18" customHeight="1" x14ac:dyDescent="0.25">
      <c r="B80" s="6"/>
      <c r="C80" s="17"/>
      <c r="E80" s="17"/>
      <c r="F80" s="17"/>
      <c r="G80" s="17"/>
      <c r="H80" s="17"/>
      <c r="I80" s="17"/>
      <c r="J80" s="17"/>
      <c r="K80" s="17"/>
      <c r="L80" s="17"/>
      <c r="M80" s="17"/>
      <c r="N80" s="17"/>
      <c r="O80" s="17"/>
      <c r="X80" s="17"/>
      <c r="Y80" s="17"/>
      <c r="Z80" s="17"/>
      <c r="AA80" s="17"/>
      <c r="AB80" s="17"/>
      <c r="AG80" s="29"/>
      <c r="AM80" s="17"/>
      <c r="AN80" s="17"/>
      <c r="AP80" s="8"/>
      <c r="AR80" s="6"/>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8"/>
      <c r="ED80" s="1" t="s">
        <v>11</v>
      </c>
      <c r="EE80" s="1" t="s">
        <v>249</v>
      </c>
      <c r="EI80" s="1" t="s">
        <v>249</v>
      </c>
      <c r="FC80" s="1">
        <f t="shared" si="29"/>
        <v>15.2</v>
      </c>
      <c r="FD80" s="12" t="str">
        <f t="shared" si="18"/>
        <v>0.0001-1.705054i</v>
      </c>
      <c r="FE80" s="13" t="str">
        <f t="shared" si="19"/>
        <v>0.000001-0.071044i</v>
      </c>
      <c r="FF80" s="13" t="str">
        <f t="shared" si="20"/>
        <v>0.010799+16.413984i</v>
      </c>
      <c r="FG80" s="14" t="str">
        <f t="shared" si="21"/>
        <v>10.798674+0.0001i</v>
      </c>
      <c r="FI80" s="1" t="str">
        <f t="shared" si="22"/>
        <v>0.0108+16.34294i</v>
      </c>
      <c r="FJ80" s="1" t="str">
        <f t="shared" si="23"/>
        <v>0.114991+176.482082i</v>
      </c>
      <c r="FK80" s="1" t="str">
        <f t="shared" si="24"/>
        <v>10.809474+16.34304i</v>
      </c>
      <c r="FL80" s="1" t="str">
        <f t="shared" si="25"/>
        <v>7.515495+4.963798i</v>
      </c>
      <c r="FM80" s="1" t="str">
        <f t="shared" si="26"/>
        <v>7.515595+3.258744i</v>
      </c>
      <c r="FN80" s="1">
        <f t="shared" si="27"/>
        <v>15.2</v>
      </c>
      <c r="FO80" s="1">
        <f t="shared" si="28"/>
        <v>8.1916775242657724</v>
      </c>
    </row>
    <row r="81" spans="2:171" ht="18" customHeight="1" x14ac:dyDescent="0.25">
      <c r="B81" s="6"/>
      <c r="C81" s="17"/>
      <c r="E81" s="17"/>
      <c r="F81" s="17"/>
      <c r="G81" s="17"/>
      <c r="H81" s="17"/>
      <c r="I81" s="17"/>
      <c r="J81" s="17"/>
      <c r="K81" s="17"/>
      <c r="S81" s="17"/>
      <c r="T81" s="17"/>
      <c r="U81" s="17"/>
      <c r="V81" s="17"/>
      <c r="W81" s="17"/>
      <c r="X81" s="17"/>
      <c r="Y81" s="17"/>
      <c r="Z81" s="17"/>
      <c r="AA81" s="17"/>
      <c r="AB81" s="17"/>
      <c r="AC81" s="17"/>
      <c r="AD81" s="17"/>
      <c r="AE81" s="17"/>
      <c r="AF81" s="17"/>
      <c r="AG81" s="17"/>
      <c r="AH81" s="17"/>
      <c r="AI81" s="17"/>
      <c r="AJ81" s="17"/>
      <c r="AK81" s="17"/>
      <c r="AL81" s="17"/>
      <c r="AM81" s="17"/>
      <c r="AN81" s="17"/>
      <c r="AP81" s="8"/>
      <c r="AR81" s="6"/>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8"/>
      <c r="CT81" s="1" t="s">
        <v>11</v>
      </c>
      <c r="FC81" s="1">
        <f t="shared" si="29"/>
        <v>15.4</v>
      </c>
      <c r="FD81" s="12" t="str">
        <f t="shared" si="18"/>
        <v>0.0001-1.68291i</v>
      </c>
      <c r="FE81" s="13" t="str">
        <f t="shared" si="19"/>
        <v>0.000001-0.070121i</v>
      </c>
      <c r="FF81" s="13" t="str">
        <f t="shared" si="20"/>
        <v>0.010799+16.629957i</v>
      </c>
      <c r="FG81" s="14" t="str">
        <f t="shared" si="21"/>
        <v>10.798674+0.0001i</v>
      </c>
      <c r="FI81" s="1" t="str">
        <f t="shared" si="22"/>
        <v>0.0108+16.559836i</v>
      </c>
      <c r="FJ81" s="1" t="str">
        <f t="shared" si="23"/>
        <v>0.11497+178.824272i</v>
      </c>
      <c r="FK81" s="1" t="str">
        <f t="shared" si="24"/>
        <v>10.809474+16.559936i</v>
      </c>
      <c r="FL81" s="1" t="str">
        <f t="shared" si="25"/>
        <v>7.575407+4.937893i</v>
      </c>
      <c r="FM81" s="1" t="str">
        <f t="shared" si="26"/>
        <v>7.575507+3.254983i</v>
      </c>
      <c r="FN81" s="1">
        <f t="shared" si="27"/>
        <v>15.4</v>
      </c>
      <c r="FO81" s="1">
        <f t="shared" si="28"/>
        <v>8.2451937901627286</v>
      </c>
    </row>
    <row r="82" spans="2:171" ht="18" customHeight="1" x14ac:dyDescent="0.25">
      <c r="B82" s="6"/>
      <c r="C82" s="17"/>
      <c r="D82" s="17"/>
      <c r="E82" s="17"/>
      <c r="F82" s="17"/>
      <c r="G82" s="17"/>
      <c r="H82" s="17"/>
      <c r="I82" s="17"/>
      <c r="N82" s="17"/>
      <c r="O82" s="17"/>
      <c r="P82" s="17"/>
      <c r="Q82" s="17"/>
      <c r="R82" s="17"/>
      <c r="S82" s="17"/>
      <c r="T82" s="17"/>
      <c r="U82" s="17"/>
      <c r="V82" s="17"/>
      <c r="AA82" s="17"/>
      <c r="AB82" s="17"/>
      <c r="AC82" s="17"/>
      <c r="AD82" s="17"/>
      <c r="AE82" s="17"/>
      <c r="AF82" s="17"/>
      <c r="AG82" s="17"/>
      <c r="AH82" s="17"/>
      <c r="AI82" s="17"/>
      <c r="AJ82" s="17"/>
      <c r="AK82" s="17"/>
      <c r="AL82" s="17"/>
      <c r="AM82" s="17"/>
      <c r="AN82" s="17"/>
      <c r="AP82" s="8"/>
      <c r="AR82" s="6"/>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8"/>
      <c r="FC82" s="1">
        <f t="shared" si="29"/>
        <v>15.6</v>
      </c>
      <c r="FD82" s="12" t="str">
        <f t="shared" si="18"/>
        <v>0.0001-1.661334i</v>
      </c>
      <c r="FE82" s="13" t="str">
        <f t="shared" si="19"/>
        <v>0.000001-0.069222i</v>
      </c>
      <c r="FF82" s="13" t="str">
        <f t="shared" si="20"/>
        <v>0.010799+16.845931i</v>
      </c>
      <c r="FG82" s="14" t="str">
        <f t="shared" si="21"/>
        <v>10.798674+0.0001i</v>
      </c>
      <c r="FI82" s="1" t="str">
        <f t="shared" si="22"/>
        <v>0.0108+16.776709i</v>
      </c>
      <c r="FJ82" s="1" t="str">
        <f t="shared" si="23"/>
        <v>0.114948+181.166212i</v>
      </c>
      <c r="FK82" s="1" t="str">
        <f t="shared" si="24"/>
        <v>10.809474+16.776809i</v>
      </c>
      <c r="FL82" s="1" t="str">
        <f t="shared" si="25"/>
        <v>7.633912+4.911758i</v>
      </c>
      <c r="FM82" s="1" t="str">
        <f t="shared" si="26"/>
        <v>7.634012+3.250424i</v>
      </c>
      <c r="FN82" s="1">
        <f t="shared" si="27"/>
        <v>15.6</v>
      </c>
      <c r="FO82" s="1">
        <f t="shared" si="28"/>
        <v>8.2971920187446546</v>
      </c>
    </row>
    <row r="83" spans="2:171" ht="18" customHeight="1" x14ac:dyDescent="0.25">
      <c r="B83" s="6"/>
      <c r="C83" s="17"/>
      <c r="D83" s="17"/>
      <c r="E83" s="17"/>
      <c r="F83" s="17"/>
      <c r="G83" s="17"/>
      <c r="H83" s="17"/>
      <c r="I83" s="17"/>
      <c r="N83" s="17"/>
      <c r="O83" s="17"/>
      <c r="P83" s="17"/>
      <c r="Q83" s="17"/>
      <c r="R83" s="17"/>
      <c r="S83" s="17"/>
      <c r="T83" s="17"/>
      <c r="U83" s="17"/>
      <c r="V83" s="17"/>
      <c r="AA83" s="17"/>
      <c r="AB83" s="17"/>
      <c r="AC83" s="17"/>
      <c r="AD83" s="17"/>
      <c r="AE83" s="17"/>
      <c r="AF83" s="17"/>
      <c r="AG83" s="17"/>
      <c r="AH83" s="17"/>
      <c r="AI83" s="17"/>
      <c r="AJ83" s="17"/>
      <c r="AK83" s="17"/>
      <c r="AL83" s="17"/>
      <c r="AM83" s="17"/>
      <c r="AN83" s="17"/>
      <c r="AP83" s="8"/>
      <c r="AR83" s="6"/>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8"/>
      <c r="CT83" s="1" t="s">
        <v>11</v>
      </c>
      <c r="FC83" s="1">
        <f t="shared" si="29"/>
        <v>15.8</v>
      </c>
      <c r="FD83" s="12" t="str">
        <f t="shared" si="18"/>
        <v>0.0001-1.640305i</v>
      </c>
      <c r="FE83" s="13" t="str">
        <f t="shared" si="19"/>
        <v>0.000001-0.068346i</v>
      </c>
      <c r="FF83" s="13" t="str">
        <f t="shared" si="20"/>
        <v>0.010799+17.061904i</v>
      </c>
      <c r="FG83" s="14" t="str">
        <f t="shared" si="21"/>
        <v>10.798674+0.0001i</v>
      </c>
      <c r="FI83" s="1" t="str">
        <f t="shared" si="22"/>
        <v>0.0108+16.993558i</v>
      </c>
      <c r="FJ83" s="1" t="str">
        <f t="shared" si="23"/>
        <v>0.114926+183.507894i</v>
      </c>
      <c r="FK83" s="1" t="str">
        <f t="shared" si="24"/>
        <v>10.809474+16.993658i</v>
      </c>
      <c r="FL83" s="1" t="str">
        <f t="shared" si="25"/>
        <v>7.691047+4.885425i</v>
      </c>
      <c r="FM83" s="1" t="str">
        <f t="shared" si="26"/>
        <v>7.691147+3.24512i</v>
      </c>
      <c r="FN83" s="1">
        <f t="shared" si="27"/>
        <v>15.8</v>
      </c>
      <c r="FO83" s="1">
        <f t="shared" si="28"/>
        <v>8.3477269954167159</v>
      </c>
    </row>
    <row r="84" spans="2:171" ht="18" customHeight="1" x14ac:dyDescent="0.25">
      <c r="B84" s="6"/>
      <c r="C84" s="17"/>
      <c r="D84" s="17"/>
      <c r="E84" s="17"/>
      <c r="F84" s="17"/>
      <c r="G84" s="17"/>
      <c r="H84" s="17"/>
      <c r="I84" s="17"/>
      <c r="N84" s="17"/>
      <c r="O84" s="17"/>
      <c r="P84" s="17"/>
      <c r="Q84" s="17"/>
      <c r="R84" s="17"/>
      <c r="S84" s="17"/>
      <c r="T84" s="17"/>
      <c r="U84" s="17"/>
      <c r="V84" s="17"/>
      <c r="AA84" s="17"/>
      <c r="AB84" s="17"/>
      <c r="AC84" s="17"/>
      <c r="AD84" s="17"/>
      <c r="AE84" s="17"/>
      <c r="AF84" s="17"/>
      <c r="AG84" s="17"/>
      <c r="AH84" s="17"/>
      <c r="AI84" s="17"/>
      <c r="AJ84" s="17"/>
      <c r="AK84" s="17"/>
      <c r="AL84" s="17"/>
      <c r="AM84" s="17"/>
      <c r="AN84" s="17"/>
      <c r="AP84" s="8"/>
      <c r="AR84" s="6"/>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8"/>
      <c r="CT84" s="1" t="s">
        <v>11</v>
      </c>
      <c r="FC84" s="1">
        <f t="shared" si="29"/>
        <v>16</v>
      </c>
      <c r="FD84" s="12" t="str">
        <f t="shared" si="18"/>
        <v>0.0001-1.619801i</v>
      </c>
      <c r="FE84" s="13" t="str">
        <f t="shared" si="19"/>
        <v>0.000001-0.067492i</v>
      </c>
      <c r="FF84" s="13" t="str">
        <f t="shared" si="20"/>
        <v>0.010799+17.277878i</v>
      </c>
      <c r="FG84" s="14" t="str">
        <f t="shared" si="21"/>
        <v>10.798674+0.0001i</v>
      </c>
      <c r="FI84" s="1" t="str">
        <f t="shared" si="22"/>
        <v>0.0108+17.210386i</v>
      </c>
      <c r="FJ84" s="1" t="str">
        <f t="shared" si="23"/>
        <v>0.114905+185.849349i</v>
      </c>
      <c r="FK84" s="1" t="str">
        <f t="shared" si="24"/>
        <v>10.809474+17.210486i</v>
      </c>
      <c r="FL84" s="1" t="str">
        <f t="shared" si="25"/>
        <v>7.746844+4.858922i</v>
      </c>
      <c r="FM84" s="1" t="str">
        <f t="shared" si="26"/>
        <v>7.746944+3.239121i</v>
      </c>
      <c r="FN84" s="1">
        <f t="shared" si="27"/>
        <v>16</v>
      </c>
      <c r="FO84" s="1">
        <f t="shared" si="28"/>
        <v>8.3968473960038708</v>
      </c>
    </row>
    <row r="85" spans="2:171" ht="18" customHeight="1" x14ac:dyDescent="0.25">
      <c r="B85" s="6"/>
      <c r="C85" s="17"/>
      <c r="D85" s="17"/>
      <c r="E85" s="17"/>
      <c r="F85" s="17"/>
      <c r="G85" s="17"/>
      <c r="H85" s="17"/>
      <c r="I85" s="17"/>
      <c r="N85" s="17"/>
      <c r="O85" s="17"/>
      <c r="P85" s="17"/>
      <c r="Q85" s="17"/>
      <c r="R85" s="17"/>
      <c r="S85" s="17"/>
      <c r="T85" s="17"/>
      <c r="U85" s="17"/>
      <c r="V85" s="17"/>
      <c r="AA85" s="17"/>
      <c r="AB85" s="17"/>
      <c r="AC85" s="17"/>
      <c r="AD85" s="17"/>
      <c r="AE85" s="17"/>
      <c r="AF85" s="17"/>
      <c r="AG85" s="17"/>
      <c r="AH85" s="17"/>
      <c r="AI85" s="17"/>
      <c r="AJ85" s="17"/>
      <c r="AK85" s="17"/>
      <c r="AL85" s="17"/>
      <c r="AM85" s="17"/>
      <c r="AN85" s="17"/>
      <c r="AP85" s="8"/>
      <c r="AR85" s="6"/>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8"/>
      <c r="CT85" s="1" t="s">
        <v>11</v>
      </c>
      <c r="FC85" s="1">
        <f t="shared" si="29"/>
        <v>16.2</v>
      </c>
      <c r="FD85" s="12" t="str">
        <f t="shared" si="18"/>
        <v>0.0001-1.599803i</v>
      </c>
      <c r="FE85" s="13" t="str">
        <f t="shared" si="19"/>
        <v>0.000001-0.066658i</v>
      </c>
      <c r="FF85" s="13" t="str">
        <f t="shared" si="20"/>
        <v>0.010799+17.493851i</v>
      </c>
      <c r="FG85" s="14" t="str">
        <f t="shared" si="21"/>
        <v>10.798674+0.0001i</v>
      </c>
      <c r="FI85" s="1" t="str">
        <f t="shared" si="22"/>
        <v>0.0108+17.427193i</v>
      </c>
      <c r="FJ85" s="1" t="str">
        <f t="shared" si="23"/>
        <v>0.114883+188.190577i</v>
      </c>
      <c r="FK85" s="1" t="str">
        <f t="shared" si="24"/>
        <v>10.809474+17.427293i</v>
      </c>
      <c r="FL85" s="1" t="str">
        <f t="shared" si="25"/>
        <v>7.801339+4.832276i</v>
      </c>
      <c r="FM85" s="1" t="str">
        <f t="shared" si="26"/>
        <v>7.801439+3.232473i</v>
      </c>
      <c r="FN85" s="1">
        <f t="shared" si="27"/>
        <v>16.2</v>
      </c>
      <c r="FO85" s="1">
        <f t="shared" si="28"/>
        <v>8.4446037305755208</v>
      </c>
    </row>
    <row r="86" spans="2:171" ht="18" customHeight="1" x14ac:dyDescent="0.25">
      <c r="B86" s="6"/>
      <c r="C86" s="17"/>
      <c r="D86" s="17"/>
      <c r="E86" s="17"/>
      <c r="F86" s="17"/>
      <c r="G86" s="17"/>
      <c r="H86" s="17"/>
      <c r="I86" s="17"/>
      <c r="J86" s="17"/>
      <c r="K86" s="17"/>
      <c r="L86" s="17"/>
      <c r="M86" s="17"/>
      <c r="N86" s="17"/>
      <c r="O86" s="17"/>
      <c r="P86" s="17"/>
      <c r="Q86" s="17"/>
      <c r="R86" s="17"/>
      <c r="S86" s="17"/>
      <c r="T86" s="17"/>
      <c r="U86" s="17"/>
      <c r="V86" s="17"/>
      <c r="AA86" s="17"/>
      <c r="AB86" s="17"/>
      <c r="AC86" s="17"/>
      <c r="AD86" s="17"/>
      <c r="AE86" s="17"/>
      <c r="AF86" s="17"/>
      <c r="AG86" s="17"/>
      <c r="AH86" s="17"/>
      <c r="AI86" s="17"/>
      <c r="AJ86" s="17"/>
      <c r="AK86" s="17"/>
      <c r="AL86" s="17"/>
      <c r="AM86" s="17"/>
      <c r="AN86" s="17"/>
      <c r="AP86" s="8"/>
      <c r="AR86" s="6"/>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8"/>
      <c r="CT86" s="1" t="s">
        <v>11</v>
      </c>
      <c r="FC86" s="1">
        <f t="shared" si="29"/>
        <v>16.399999999999999</v>
      </c>
      <c r="FD86" s="12" t="str">
        <f t="shared" si="18"/>
        <v>0.0001-1.580294i</v>
      </c>
      <c r="FE86" s="13" t="str">
        <f t="shared" si="19"/>
        <v>0.000001-0.065846i</v>
      </c>
      <c r="FF86" s="13" t="str">
        <f t="shared" si="20"/>
        <v>0.010799+17.709825i</v>
      </c>
      <c r="FG86" s="14" t="str">
        <f t="shared" si="21"/>
        <v>10.798674+0.0001i</v>
      </c>
      <c r="FI86" s="1" t="str">
        <f t="shared" si="22"/>
        <v>0.0108+17.643979i</v>
      </c>
      <c r="FJ86" s="1" t="str">
        <f t="shared" si="23"/>
        <v>0.114861+190.531578i</v>
      </c>
      <c r="FK86" s="1" t="str">
        <f t="shared" si="24"/>
        <v>10.809474+17.644079i</v>
      </c>
      <c r="FL86" s="1" t="str">
        <f t="shared" si="25"/>
        <v>7.854563+4.805512i</v>
      </c>
      <c r="FM86" s="1" t="str">
        <f t="shared" si="26"/>
        <v>7.854663+3.225218i</v>
      </c>
      <c r="FN86" s="1">
        <f t="shared" si="27"/>
        <v>16.399999999999999</v>
      </c>
      <c r="FO86" s="1">
        <f t="shared" si="28"/>
        <v>8.4910401006645237</v>
      </c>
    </row>
    <row r="87" spans="2:171" ht="18" customHeight="1" x14ac:dyDescent="0.25">
      <c r="B87" s="6"/>
      <c r="C87" s="17"/>
      <c r="D87" s="17"/>
      <c r="E87" s="17"/>
      <c r="F87" s="17"/>
      <c r="G87" s="17"/>
      <c r="H87" s="17"/>
      <c r="I87" s="17"/>
      <c r="J87" s="17"/>
      <c r="K87" s="17"/>
      <c r="L87" s="17"/>
      <c r="M87" s="17"/>
      <c r="N87" s="17"/>
      <c r="O87" s="17"/>
      <c r="P87" s="17"/>
      <c r="Q87" s="17"/>
      <c r="R87" s="17"/>
      <c r="S87" s="17"/>
      <c r="T87" s="17"/>
      <c r="U87" s="17"/>
      <c r="V87" s="17"/>
      <c r="AA87" s="17"/>
      <c r="AB87" s="17"/>
      <c r="AC87" s="17"/>
      <c r="AD87" s="17"/>
      <c r="AE87" s="17"/>
      <c r="AF87" s="17"/>
      <c r="AG87" s="17"/>
      <c r="AH87" s="17"/>
      <c r="AI87" s="17"/>
      <c r="AJ87" s="17"/>
      <c r="AK87" s="17"/>
      <c r="AL87" s="17"/>
      <c r="AM87" s="17"/>
      <c r="AN87" s="17"/>
      <c r="AP87" s="8"/>
      <c r="AR87" s="6"/>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8"/>
      <c r="FC87" s="1">
        <f t="shared" si="29"/>
        <v>16.600000000000001</v>
      </c>
      <c r="FD87" s="12" t="str">
        <f t="shared" si="18"/>
        <v>0.0001-1.561254i</v>
      </c>
      <c r="FE87" s="13" t="str">
        <f t="shared" si="19"/>
        <v>0.000001-0.065052i</v>
      </c>
      <c r="FF87" s="13" t="str">
        <f t="shared" si="20"/>
        <v>0.010799+17.925798i</v>
      </c>
      <c r="FG87" s="14" t="str">
        <f t="shared" si="21"/>
        <v>10.798674+0.0001i</v>
      </c>
      <c r="FI87" s="1" t="str">
        <f t="shared" si="22"/>
        <v>0.0108+17.860746i</v>
      </c>
      <c r="FJ87" s="1" t="str">
        <f t="shared" si="23"/>
        <v>0.11484+192.872375i</v>
      </c>
      <c r="FK87" s="1" t="str">
        <f t="shared" si="24"/>
        <v>10.809474+17.860846i</v>
      </c>
      <c r="FL87" s="1" t="str">
        <f t="shared" si="25"/>
        <v>7.906549+4.778653i</v>
      </c>
      <c r="FM87" s="1" t="str">
        <f t="shared" si="26"/>
        <v>7.906649+3.217399i</v>
      </c>
      <c r="FN87" s="1">
        <f t="shared" si="27"/>
        <v>16.600000000000001</v>
      </c>
      <c r="FO87" s="1">
        <f t="shared" si="28"/>
        <v>8.5362025945031323</v>
      </c>
    </row>
    <row r="88" spans="2:171" ht="18" customHeight="1" x14ac:dyDescent="0.25">
      <c r="B88" s="6"/>
      <c r="C88" s="17"/>
      <c r="D88" s="17"/>
      <c r="E88" s="17"/>
      <c r="F88" s="17"/>
      <c r="G88" s="17"/>
      <c r="H88" s="17"/>
      <c r="I88" s="17"/>
      <c r="J88" s="17"/>
      <c r="K88" s="17"/>
      <c r="L88" s="17"/>
      <c r="M88" s="17"/>
      <c r="N88" s="17"/>
      <c r="O88" s="17"/>
      <c r="P88" s="17"/>
      <c r="Q88" s="17"/>
      <c r="R88" s="17"/>
      <c r="S88" s="17"/>
      <c r="T88" s="17"/>
      <c r="U88" s="17"/>
      <c r="V88" s="17"/>
      <c r="AA88" s="17"/>
      <c r="AB88" s="17"/>
      <c r="AC88" s="17"/>
      <c r="AD88" s="17"/>
      <c r="AE88" s="17"/>
      <c r="AF88" s="17"/>
      <c r="AG88" s="17"/>
      <c r="AH88" s="17"/>
      <c r="AI88" s="17"/>
      <c r="AJ88" s="17"/>
      <c r="AK88" s="17"/>
      <c r="AL88" s="17"/>
      <c r="AM88" s="17"/>
      <c r="AN88" s="17"/>
      <c r="AP88" s="8"/>
      <c r="AR88" s="6"/>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8"/>
      <c r="FC88" s="1">
        <f t="shared" si="29"/>
        <v>16.8</v>
      </c>
      <c r="FD88" s="12" t="str">
        <f t="shared" si="18"/>
        <v>0.0001-1.542668i</v>
      </c>
      <c r="FE88" s="13" t="str">
        <f t="shared" si="19"/>
        <v>0.000001-0.064278i</v>
      </c>
      <c r="FF88" s="13" t="str">
        <f t="shared" si="20"/>
        <v>0.010799+18.141772i</v>
      </c>
      <c r="FG88" s="14" t="str">
        <f t="shared" si="21"/>
        <v>10.798674+0.0001i</v>
      </c>
      <c r="FI88" s="1" t="str">
        <f t="shared" si="22"/>
        <v>0.0108+18.077494i</v>
      </c>
      <c r="FJ88" s="1" t="str">
        <f t="shared" si="23"/>
        <v>0.114818+195.212966i</v>
      </c>
      <c r="FK88" s="1" t="str">
        <f t="shared" si="24"/>
        <v>10.809474+18.077594i</v>
      </c>
      <c r="FL88" s="1" t="str">
        <f t="shared" si="25"/>
        <v>7.957328+4.751723i</v>
      </c>
      <c r="FM88" s="1" t="str">
        <f t="shared" si="26"/>
        <v>7.957428+3.209055i</v>
      </c>
      <c r="FN88" s="1">
        <f t="shared" si="27"/>
        <v>16.8</v>
      </c>
      <c r="FO88" s="1">
        <f t="shared" si="28"/>
        <v>8.5801337033993246</v>
      </c>
    </row>
    <row r="89" spans="2:171" ht="18" customHeight="1" x14ac:dyDescent="0.25">
      <c r="B89" s="6"/>
      <c r="C89" s="17"/>
      <c r="D89" s="17"/>
      <c r="E89" s="17"/>
      <c r="F89" s="17"/>
      <c r="G89" s="17"/>
      <c r="H89" s="17"/>
      <c r="I89" s="17"/>
      <c r="J89" s="17"/>
      <c r="K89" s="17"/>
      <c r="L89" s="17"/>
      <c r="M89" s="17"/>
      <c r="N89" s="17"/>
      <c r="O89" s="17"/>
      <c r="P89" s="17"/>
      <c r="Q89" s="17"/>
      <c r="R89" s="17"/>
      <c r="S89" s="17"/>
      <c r="T89" s="17"/>
      <c r="U89" s="17"/>
      <c r="V89" s="17"/>
      <c r="AA89" s="17"/>
      <c r="AB89" s="17"/>
      <c r="AC89" s="17"/>
      <c r="AD89" s="17"/>
      <c r="AE89" s="17"/>
      <c r="AF89" s="17"/>
      <c r="AG89" s="17"/>
      <c r="AH89" s="17"/>
      <c r="AI89" s="17"/>
      <c r="AJ89" s="17"/>
      <c r="AK89" s="17"/>
      <c r="AL89" s="17"/>
      <c r="AM89" s="17"/>
      <c r="AN89" s="17"/>
      <c r="AP89" s="8"/>
      <c r="AR89" s="6"/>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8"/>
      <c r="FC89" s="1">
        <f t="shared" si="29"/>
        <v>17</v>
      </c>
      <c r="FD89" s="12" t="str">
        <f t="shared" si="18"/>
        <v>0.0001-1.524519i</v>
      </c>
      <c r="FE89" s="13" t="str">
        <f t="shared" si="19"/>
        <v>0.000001-0.063522i</v>
      </c>
      <c r="FF89" s="13" t="str">
        <f t="shared" si="20"/>
        <v>0.010799+18.357745i</v>
      </c>
      <c r="FG89" s="14" t="str">
        <f t="shared" si="21"/>
        <v>10.798674+0.0001i</v>
      </c>
      <c r="FI89" s="1" t="str">
        <f t="shared" si="22"/>
        <v>0.0108+18.294223i</v>
      </c>
      <c r="FJ89" s="1" t="str">
        <f t="shared" si="23"/>
        <v>0.114796+197.553351i</v>
      </c>
      <c r="FK89" s="1" t="str">
        <f t="shared" si="24"/>
        <v>10.809474+18.294323i</v>
      </c>
      <c r="FL89" s="1" t="str">
        <f t="shared" si="25"/>
        <v>8.006932+4.72474i</v>
      </c>
      <c r="FM89" s="1" t="str">
        <f t="shared" si="26"/>
        <v>8.007032+3.200221i</v>
      </c>
      <c r="FN89" s="1">
        <f t="shared" si="27"/>
        <v>17</v>
      </c>
      <c r="FO89" s="1">
        <f t="shared" si="28"/>
        <v>8.6228751526312273</v>
      </c>
    </row>
    <row r="90" spans="2:171" ht="18" customHeight="1" x14ac:dyDescent="0.25">
      <c r="B90" s="6"/>
      <c r="C90" s="17"/>
      <c r="D90" s="17"/>
      <c r="E90" s="17"/>
      <c r="F90" s="17"/>
      <c r="G90" s="17"/>
      <c r="H90" s="17"/>
      <c r="I90" s="17"/>
      <c r="J90" s="17"/>
      <c r="K90" s="17"/>
      <c r="L90" s="17"/>
      <c r="M90" s="17"/>
      <c r="N90" s="17"/>
      <c r="O90" s="17"/>
      <c r="P90" s="17"/>
      <c r="Q90" s="17"/>
      <c r="R90" s="17"/>
      <c r="S90" s="17"/>
      <c r="T90" s="17"/>
      <c r="U90" s="17"/>
      <c r="V90" s="17"/>
      <c r="AA90" s="17"/>
      <c r="AB90" s="17"/>
      <c r="AC90" s="17"/>
      <c r="AD90" s="17"/>
      <c r="AE90" s="17"/>
      <c r="AF90" s="17"/>
      <c r="AG90" s="17"/>
      <c r="AH90" s="17"/>
      <c r="AI90" s="17"/>
      <c r="AJ90" s="17"/>
      <c r="AK90" s="17"/>
      <c r="AL90" s="17"/>
      <c r="AM90" s="17"/>
      <c r="AN90" s="17"/>
      <c r="AP90" s="8"/>
      <c r="AR90" s="6"/>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8"/>
      <c r="FC90" s="1">
        <f t="shared" si="29"/>
        <v>17.2</v>
      </c>
      <c r="FD90" s="12" t="str">
        <f t="shared" si="18"/>
        <v>0.0001-1.506792i</v>
      </c>
      <c r="FE90" s="13" t="str">
        <f t="shared" si="19"/>
        <v>0.000001-0.062783i</v>
      </c>
      <c r="FF90" s="13" t="str">
        <f t="shared" si="20"/>
        <v>0.010799+18.573719i</v>
      </c>
      <c r="FG90" s="14" t="str">
        <f t="shared" si="21"/>
        <v>10.798674+0.0001i</v>
      </c>
      <c r="FI90" s="1" t="str">
        <f t="shared" si="22"/>
        <v>0.0108+18.510936i</v>
      </c>
      <c r="FJ90" s="1" t="str">
        <f t="shared" si="23"/>
        <v>0.114775+199.893564i</v>
      </c>
      <c r="FK90" s="1" t="str">
        <f t="shared" si="24"/>
        <v>10.809474+18.511036i</v>
      </c>
      <c r="FL90" s="1" t="str">
        <f t="shared" si="25"/>
        <v>8.055391+4.697725i</v>
      </c>
      <c r="FM90" s="1" t="str">
        <f t="shared" si="26"/>
        <v>8.055491+3.190933i</v>
      </c>
      <c r="FN90" s="1">
        <f t="shared" si="27"/>
        <v>17.2</v>
      </c>
      <c r="FO90" s="1">
        <f t="shared" si="28"/>
        <v>8.6644670154355126</v>
      </c>
    </row>
    <row r="91" spans="2:171" ht="18" customHeight="1" x14ac:dyDescent="0.25">
      <c r="B91" s="6"/>
      <c r="C91" s="17"/>
      <c r="D91" s="17"/>
      <c r="E91" s="17"/>
      <c r="F91" s="17"/>
      <c r="G91" s="17"/>
      <c r="H91" s="17"/>
      <c r="I91" s="17"/>
      <c r="J91" s="17"/>
      <c r="K91" s="17"/>
      <c r="L91" s="17"/>
      <c r="M91" s="17"/>
      <c r="N91" s="17"/>
      <c r="O91" s="17"/>
      <c r="P91" s="17"/>
      <c r="Q91" s="17"/>
      <c r="R91" s="17"/>
      <c r="S91" s="17"/>
      <c r="T91" s="17"/>
      <c r="U91" s="17"/>
      <c r="V91" s="17"/>
      <c r="AA91" s="17"/>
      <c r="AB91" s="17"/>
      <c r="AC91" s="17"/>
      <c r="AD91" s="17"/>
      <c r="AE91" s="17"/>
      <c r="AF91" s="17"/>
      <c r="AG91" s="17"/>
      <c r="AH91" s="17"/>
      <c r="AI91" s="17"/>
      <c r="AJ91" s="17"/>
      <c r="AK91" s="17"/>
      <c r="AL91" s="17"/>
      <c r="AM91" s="17"/>
      <c r="AN91" s="17"/>
      <c r="AP91" s="8"/>
      <c r="AR91" s="6"/>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8"/>
      <c r="DV91" s="1" t="s">
        <v>11</v>
      </c>
      <c r="FC91" s="1">
        <f t="shared" si="29"/>
        <v>17.399999999999999</v>
      </c>
      <c r="FD91" s="12" t="str">
        <f t="shared" si="18"/>
        <v>0.0001-1.489472i</v>
      </c>
      <c r="FE91" s="13" t="str">
        <f t="shared" si="19"/>
        <v>0.000001-0.062061i</v>
      </c>
      <c r="FF91" s="13" t="str">
        <f t="shared" si="20"/>
        <v>0.010799+18.789692i</v>
      </c>
      <c r="FG91" s="14" t="str">
        <f t="shared" si="21"/>
        <v>10.798674+0.0001i</v>
      </c>
      <c r="FI91" s="1" t="str">
        <f t="shared" si="22"/>
        <v>0.0108+18.727631i</v>
      </c>
      <c r="FJ91" s="1" t="str">
        <f t="shared" si="23"/>
        <v>0.114753+202.233583i</v>
      </c>
      <c r="FK91" s="1" t="str">
        <f t="shared" si="24"/>
        <v>10.809474+18.727731i</v>
      </c>
      <c r="FL91" s="1" t="str">
        <f t="shared" si="25"/>
        <v>8.102734+4.670696i</v>
      </c>
      <c r="FM91" s="1" t="str">
        <f t="shared" si="26"/>
        <v>8.102834+3.181224i</v>
      </c>
      <c r="FN91" s="1">
        <f t="shared" si="27"/>
        <v>17.399999999999999</v>
      </c>
      <c r="FO91" s="1">
        <f t="shared" si="28"/>
        <v>8.7049471549074902</v>
      </c>
    </row>
    <row r="92" spans="2:171" ht="18" customHeight="1" x14ac:dyDescent="0.25">
      <c r="B92" s="6"/>
      <c r="C92" s="17"/>
      <c r="D92" s="17"/>
      <c r="E92" s="17"/>
      <c r="F92" s="17"/>
      <c r="G92" s="17"/>
      <c r="H92" s="17"/>
      <c r="I92" s="17"/>
      <c r="J92" s="17"/>
      <c r="K92" s="17"/>
      <c r="L92" s="17"/>
      <c r="M92" s="17"/>
      <c r="N92" s="17"/>
      <c r="O92" s="17"/>
      <c r="P92" s="17"/>
      <c r="Q92" s="17"/>
      <c r="R92" s="17"/>
      <c r="S92" s="17"/>
      <c r="T92" s="17"/>
      <c r="U92" s="17"/>
      <c r="V92" s="17"/>
      <c r="AA92" s="17"/>
      <c r="AB92" s="17"/>
      <c r="AC92" s="17"/>
      <c r="AD92" s="17"/>
      <c r="AE92" s="17"/>
      <c r="AF92" s="17"/>
      <c r="AG92" s="17"/>
      <c r="AH92" s="17"/>
      <c r="AI92" s="17"/>
      <c r="AJ92" s="17"/>
      <c r="AK92" s="17"/>
      <c r="AL92" s="17"/>
      <c r="AM92" s="17"/>
      <c r="AN92" s="17"/>
      <c r="AP92" s="8"/>
      <c r="AR92" s="6"/>
      <c r="CF92" s="8"/>
      <c r="EW92" s="1" t="s">
        <v>11</v>
      </c>
      <c r="EX92" s="1" t="s">
        <v>11</v>
      </c>
      <c r="EY92" s="1" t="s">
        <v>11</v>
      </c>
      <c r="EZ92" s="1" t="s">
        <v>11</v>
      </c>
      <c r="FA92" s="1" t="s">
        <v>11</v>
      </c>
      <c r="FB92" s="1" t="s">
        <v>11</v>
      </c>
      <c r="FC92" s="1">
        <f t="shared" si="29"/>
        <v>17.600000000000001</v>
      </c>
      <c r="FD92" s="12" t="str">
        <f t="shared" si="18"/>
        <v>0.0001-1.472546i</v>
      </c>
      <c r="FE92" s="13" t="str">
        <f t="shared" si="19"/>
        <v>0.000001-0.061356i</v>
      </c>
      <c r="FF92" s="13" t="str">
        <f t="shared" si="20"/>
        <v>0.010799+19.005666i</v>
      </c>
      <c r="FG92" s="14" t="str">
        <f t="shared" si="21"/>
        <v>10.798674+0.0001i</v>
      </c>
      <c r="FI92" s="1" t="str">
        <f t="shared" si="22"/>
        <v>0.0108+18.94431i</v>
      </c>
      <c r="FJ92" s="1" t="str">
        <f t="shared" si="23"/>
        <v>0.114731+204.573429i</v>
      </c>
      <c r="FK92" s="1" t="str">
        <f t="shared" si="24"/>
        <v>10.809474+18.94441i</v>
      </c>
      <c r="FL92" s="1" t="str">
        <f t="shared" si="25"/>
        <v>8.14899+4.643669i</v>
      </c>
      <c r="FM92" s="1" t="str">
        <f t="shared" si="26"/>
        <v>8.14909+3.171123i</v>
      </c>
      <c r="FN92" s="1">
        <f t="shared" si="27"/>
        <v>17.600000000000001</v>
      </c>
      <c r="FO92" s="1">
        <f t="shared" si="28"/>
        <v>8.7443518289939011</v>
      </c>
    </row>
    <row r="93" spans="2:171" ht="18" customHeight="1" x14ac:dyDescent="0.25">
      <c r="B93" s="6"/>
      <c r="C93" s="17"/>
      <c r="D93" s="17"/>
      <c r="E93" s="17"/>
      <c r="F93" s="17"/>
      <c r="G93" s="17"/>
      <c r="H93" s="17"/>
      <c r="I93" s="17"/>
      <c r="J93" s="17"/>
      <c r="K93" s="17"/>
      <c r="L93" s="17"/>
      <c r="M93" s="17"/>
      <c r="N93" s="17"/>
      <c r="O93" s="17"/>
      <c r="P93" s="17"/>
      <c r="Q93" s="17"/>
      <c r="R93" s="17"/>
      <c r="S93" s="17"/>
      <c r="T93" s="17"/>
      <c r="U93" s="17"/>
      <c r="V93" s="17"/>
      <c r="AA93" s="17"/>
      <c r="AB93" s="17"/>
      <c r="AC93" s="17"/>
      <c r="AD93" s="17"/>
      <c r="AE93" s="17"/>
      <c r="AF93" s="17"/>
      <c r="AG93" s="17"/>
      <c r="AH93" s="17"/>
      <c r="AI93" s="17"/>
      <c r="AJ93" s="17"/>
      <c r="AK93" s="17"/>
      <c r="AL93" s="17"/>
      <c r="AM93" s="17"/>
      <c r="AN93" s="17"/>
      <c r="AP93" s="8"/>
      <c r="AR93" s="6"/>
      <c r="CF93" s="8"/>
      <c r="FC93" s="1">
        <f t="shared" si="29"/>
        <v>17.8</v>
      </c>
      <c r="FD93" s="12" t="str">
        <f t="shared" si="18"/>
        <v>0.0001-1.456001i</v>
      </c>
      <c r="FE93" s="13" t="str">
        <f t="shared" si="19"/>
        <v>0.000001-0.060667i</v>
      </c>
      <c r="FF93" s="13" t="str">
        <f t="shared" si="20"/>
        <v>0.010799+19.221639i</v>
      </c>
      <c r="FG93" s="14" t="str">
        <f t="shared" si="21"/>
        <v>10.798674+0.0001i</v>
      </c>
      <c r="FI93" s="1" t="str">
        <f t="shared" si="22"/>
        <v>0.0108+19.160972i</v>
      </c>
      <c r="FJ93" s="1" t="str">
        <f t="shared" si="23"/>
        <v>0.11471+206.913091i</v>
      </c>
      <c r="FK93" s="1" t="str">
        <f t="shared" si="24"/>
        <v>10.809474+19.161072i</v>
      </c>
      <c r="FL93" s="1" t="str">
        <f t="shared" si="25"/>
        <v>8.194188+4.61666i</v>
      </c>
      <c r="FM93" s="1" t="str">
        <f t="shared" si="26"/>
        <v>8.194288+3.160659i</v>
      </c>
      <c r="FN93" s="1">
        <f t="shared" si="27"/>
        <v>17.8</v>
      </c>
      <c r="FO93" s="1">
        <f t="shared" si="28"/>
        <v>8.7827171844039817</v>
      </c>
    </row>
    <row r="94" spans="2:171" ht="18" customHeight="1" x14ac:dyDescent="0.25">
      <c r="B94" s="6"/>
      <c r="AP94" s="8"/>
      <c r="AR94" s="6"/>
      <c r="CF94" s="8"/>
      <c r="FC94" s="1">
        <f t="shared" si="29"/>
        <v>18</v>
      </c>
      <c r="FD94" s="12" t="str">
        <f t="shared" si="18"/>
        <v>0.0001-1.439823i</v>
      </c>
      <c r="FE94" s="13" t="str">
        <f t="shared" si="19"/>
        <v>0.000001-0.059993i</v>
      </c>
      <c r="FF94" s="13" t="str">
        <f t="shared" si="20"/>
        <v>0.010799+19.437613i</v>
      </c>
      <c r="FG94" s="14" t="str">
        <f t="shared" si="21"/>
        <v>10.798674+0.0001i</v>
      </c>
      <c r="FI94" s="1" t="str">
        <f t="shared" si="22"/>
        <v>0.0108+19.37762i</v>
      </c>
      <c r="FJ94" s="1" t="str">
        <f t="shared" si="23"/>
        <v>0.114688+209.252602i</v>
      </c>
      <c r="FK94" s="1" t="str">
        <f t="shared" si="24"/>
        <v>10.809474+19.37772i</v>
      </c>
      <c r="FL94" s="1" t="str">
        <f t="shared" si="25"/>
        <v>8.238355+4.589683i</v>
      </c>
      <c r="FM94" s="1" t="str">
        <f t="shared" si="26"/>
        <v>8.238455+3.14986i</v>
      </c>
      <c r="FN94" s="1">
        <f t="shared" si="27"/>
        <v>18</v>
      </c>
      <c r="FO94" s="1">
        <f t="shared" si="28"/>
        <v>8.8200770295176554</v>
      </c>
    </row>
    <row r="95" spans="2:171" ht="18" customHeight="1" x14ac:dyDescent="0.25">
      <c r="B95" s="6"/>
      <c r="AP95" s="8"/>
      <c r="AR95" s="6"/>
      <c r="CF95" s="8"/>
      <c r="FC95" s="1">
        <f t="shared" si="29"/>
        <v>18.2</v>
      </c>
      <c r="FD95" s="12" t="str">
        <f t="shared" si="18"/>
        <v>0.0001-1.424001i</v>
      </c>
      <c r="FE95" s="13" t="str">
        <f t="shared" si="19"/>
        <v>0.000001-0.059333i</v>
      </c>
      <c r="FF95" s="13" t="str">
        <f t="shared" si="20"/>
        <v>0.010799+19.653586i</v>
      </c>
      <c r="FG95" s="14" t="str">
        <f t="shared" si="21"/>
        <v>10.798674+0.0001i</v>
      </c>
      <c r="FI95" s="1" t="str">
        <f t="shared" si="22"/>
        <v>0.0108+19.594253i</v>
      </c>
      <c r="FJ95" s="1" t="str">
        <f t="shared" si="23"/>
        <v>0.114666+211.591952i</v>
      </c>
      <c r="FK95" s="1" t="str">
        <f t="shared" si="24"/>
        <v>10.809474+19.594353i</v>
      </c>
      <c r="FL95" s="1" t="str">
        <f t="shared" si="25"/>
        <v>8.281518+4.562753i</v>
      </c>
      <c r="FM95" s="1" t="str">
        <f t="shared" si="26"/>
        <v>8.281618+3.138752i</v>
      </c>
      <c r="FN95" s="1">
        <f t="shared" si="27"/>
        <v>18.2</v>
      </c>
      <c r="FO95" s="1">
        <f t="shared" si="28"/>
        <v>8.856464351840863</v>
      </c>
    </row>
    <row r="96" spans="2:171" ht="18" customHeight="1" thickBot="1" x14ac:dyDescent="0.3">
      <c r="B96" s="6"/>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1"/>
      <c r="AO96" s="10"/>
      <c r="AP96" s="8"/>
      <c r="AR96" s="6"/>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1"/>
      <c r="CE96" s="10"/>
      <c r="CF96" s="8"/>
      <c r="FC96" s="1">
        <f t="shared" si="29"/>
        <v>18.399999999999999</v>
      </c>
      <c r="FD96" s="12" t="str">
        <f t="shared" si="18"/>
        <v>0.0001-1.408523i</v>
      </c>
      <c r="FE96" s="13" t="str">
        <f t="shared" si="19"/>
        <v>0.000001-0.058688i</v>
      </c>
      <c r="FF96" s="13" t="str">
        <f t="shared" si="20"/>
        <v>0.010799+19.869559i</v>
      </c>
      <c r="FG96" s="14" t="str">
        <f t="shared" si="21"/>
        <v>10.798674+0.0001i</v>
      </c>
      <c r="FI96" s="1" t="str">
        <f t="shared" si="22"/>
        <v>0.0108+19.810871i</v>
      </c>
      <c r="FJ96" s="1" t="str">
        <f t="shared" si="23"/>
        <v>0.114645+213.931139i</v>
      </c>
      <c r="FK96" s="1" t="str">
        <f t="shared" si="24"/>
        <v>10.809474+19.810971i</v>
      </c>
      <c r="FL96" s="1" t="str">
        <f t="shared" si="25"/>
        <v>8.323704+4.535881i</v>
      </c>
      <c r="FM96" s="1" t="str">
        <f t="shared" si="26"/>
        <v>8.323804+3.127358i</v>
      </c>
      <c r="FN96" s="1">
        <f t="shared" si="27"/>
        <v>18.399999999999999</v>
      </c>
      <c r="FO96" s="1">
        <f t="shared" si="28"/>
        <v>8.8919109920522725</v>
      </c>
    </row>
    <row r="97" spans="2:183" ht="18" customHeight="1" x14ac:dyDescent="0.25">
      <c r="B97" s="6"/>
      <c r="D97" s="44" t="s">
        <v>94</v>
      </c>
      <c r="AO97" s="29" t="s">
        <v>109</v>
      </c>
      <c r="AP97" s="8"/>
      <c r="AR97" s="6"/>
      <c r="AT97" s="44" t="s">
        <v>94</v>
      </c>
      <c r="CE97" s="29" t="s">
        <v>110</v>
      </c>
      <c r="CF97" s="8"/>
      <c r="FC97" s="1">
        <f t="shared" si="29"/>
        <v>18.600000000000001</v>
      </c>
      <c r="FD97" s="12" t="str">
        <f t="shared" si="18"/>
        <v>0.0001-1.393377i</v>
      </c>
      <c r="FE97" s="13" t="str">
        <f t="shared" si="19"/>
        <v>0.000001-0.058057i</v>
      </c>
      <c r="FF97" s="13" t="str">
        <f t="shared" si="20"/>
        <v>0.010799+20.085533i</v>
      </c>
      <c r="FG97" s="14" t="str">
        <f t="shared" si="21"/>
        <v>10.798674+0.0001i</v>
      </c>
      <c r="FI97" s="1" t="str">
        <f t="shared" si="22"/>
        <v>0.0108+20.027476i</v>
      </c>
      <c r="FJ97" s="1" t="str">
        <f t="shared" si="23"/>
        <v>0.114623+216.270185i</v>
      </c>
      <c r="FK97" s="1" t="str">
        <f t="shared" si="24"/>
        <v>10.809474+20.027576i</v>
      </c>
      <c r="FL97" s="1" t="str">
        <f t="shared" si="25"/>
        <v>8.364937+4.50908i</v>
      </c>
      <c r="FM97" s="1" t="str">
        <f t="shared" si="26"/>
        <v>8.365037+3.115703i</v>
      </c>
      <c r="FN97" s="1">
        <f t="shared" si="27"/>
        <v>18.600000000000001</v>
      </c>
      <c r="FO97" s="1">
        <f t="shared" si="28"/>
        <v>8.9264466164077838</v>
      </c>
    </row>
    <row r="98" spans="2:183" ht="18" customHeight="1" x14ac:dyDescent="0.25">
      <c r="B98" s="46"/>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8"/>
      <c r="AR98" s="46"/>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8"/>
      <c r="FC98" s="1">
        <f t="shared" si="29"/>
        <v>18.8</v>
      </c>
      <c r="FD98" s="12" t="str">
        <f t="shared" si="18"/>
        <v>0.0001-1.378554i</v>
      </c>
      <c r="FE98" s="13" t="str">
        <f t="shared" si="19"/>
        <v>0.000001-0.05744i</v>
      </c>
      <c r="FF98" s="13" t="str">
        <f t="shared" si="20"/>
        <v>0.010799+20.301506i</v>
      </c>
      <c r="FG98" s="14" t="str">
        <f t="shared" si="21"/>
        <v>10.798674+0.0001i</v>
      </c>
      <c r="FI98" s="1" t="str">
        <f t="shared" si="22"/>
        <v>0.0108+20.244066i</v>
      </c>
      <c r="FJ98" s="1" t="str">
        <f t="shared" si="23"/>
        <v>0.114601+218.60907i</v>
      </c>
      <c r="FK98" s="1" t="str">
        <f t="shared" si="24"/>
        <v>10.809474+20.244166i</v>
      </c>
      <c r="FL98" s="1" t="str">
        <f t="shared" si="25"/>
        <v>8.405242+4.48236i</v>
      </c>
      <c r="FM98" s="1" t="str">
        <f t="shared" si="26"/>
        <v>8.405342+3.103806i</v>
      </c>
      <c r="FN98" s="1">
        <f t="shared" si="27"/>
        <v>18.8</v>
      </c>
      <c r="FO98" s="1">
        <f t="shared" si="28"/>
        <v>8.9600996547248286</v>
      </c>
    </row>
    <row r="99" spans="2:183" ht="18" customHeight="1" x14ac:dyDescent="0.25">
      <c r="FC99" s="1">
        <f t="shared" si="29"/>
        <v>19</v>
      </c>
      <c r="FD99" s="12" t="str">
        <f t="shared" si="18"/>
        <v>0.0001-1.364043i</v>
      </c>
      <c r="FE99" s="13" t="str">
        <f t="shared" si="19"/>
        <v>0.000001-0.056835i</v>
      </c>
      <c r="FF99" s="13" t="str">
        <f t="shared" si="20"/>
        <v>0.010799+20.51748i</v>
      </c>
      <c r="FG99" s="14" t="str">
        <f t="shared" si="21"/>
        <v>10.798674+0.0001i</v>
      </c>
      <c r="FI99" s="1" t="str">
        <f t="shared" si="22"/>
        <v>0.0108+20.460645i</v>
      </c>
      <c r="FJ99" s="1" t="str">
        <f t="shared" si="23"/>
        <v>0.11458+220.947836i</v>
      </c>
      <c r="FK99" s="1" t="str">
        <f t="shared" si="24"/>
        <v>10.809474+20.460745i</v>
      </c>
      <c r="FL99" s="1" t="str">
        <f t="shared" si="25"/>
        <v>8.444645+4.455732i</v>
      </c>
      <c r="FM99" s="1" t="str">
        <f t="shared" si="26"/>
        <v>8.444745+3.091689i</v>
      </c>
      <c r="FN99" s="1">
        <f t="shared" si="27"/>
        <v>19</v>
      </c>
      <c r="FO99" s="1">
        <f t="shared" si="28"/>
        <v>8.9929004769176668</v>
      </c>
    </row>
    <row r="100" spans="2:183" ht="18" customHeight="1" x14ac:dyDescent="0.25">
      <c r="B100" s="3"/>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5"/>
      <c r="AR100" s="3"/>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5"/>
      <c r="FC100" s="1">
        <f t="shared" si="29"/>
        <v>19.2</v>
      </c>
      <c r="FD100" s="12" t="str">
        <f t="shared" si="18"/>
        <v>0.0001-1.349834i</v>
      </c>
      <c r="FE100" s="13" t="str">
        <f t="shared" si="19"/>
        <v>0.000001-0.056243i</v>
      </c>
      <c r="FF100" s="13" t="str">
        <f t="shared" si="20"/>
        <v>0.010799+20.733453i</v>
      </c>
      <c r="FG100" s="14" t="str">
        <f t="shared" si="21"/>
        <v>10.798674+0.0001i</v>
      </c>
      <c r="FI100" s="1" t="str">
        <f t="shared" si="22"/>
        <v>0.0108+20.67721i</v>
      </c>
      <c r="FJ100" s="1" t="str">
        <f t="shared" si="23"/>
        <v>0.114558+223.286451i</v>
      </c>
      <c r="FK100" s="1" t="str">
        <f t="shared" si="24"/>
        <v>10.809474+20.67731i</v>
      </c>
      <c r="FL100" s="1" t="str">
        <f t="shared" si="25"/>
        <v>8.483168+4.429204i</v>
      </c>
      <c r="FM100" s="1" t="str">
        <f t="shared" si="26"/>
        <v>8.483268+3.07937i</v>
      </c>
      <c r="FN100" s="1">
        <f t="shared" si="27"/>
        <v>19.2</v>
      </c>
      <c r="FO100" s="1">
        <f t="shared" si="28"/>
        <v>9.0248742681947665</v>
      </c>
      <c r="FZ100" s="53">
        <f t="shared" ref="FZ100:FZ115" si="30">H114</f>
        <v>417.1862180215175</v>
      </c>
      <c r="GA100" s="1">
        <f t="shared" ref="GA100:GA115" si="31">FZ100*FZ100</f>
        <v>174044.34050709713</v>
      </c>
    </row>
    <row r="101" spans="2:183" ht="18" customHeight="1" x14ac:dyDescent="0.25">
      <c r="B101" s="6"/>
      <c r="AN101" s="7"/>
      <c r="AP101" s="8"/>
      <c r="AR101" s="6"/>
      <c r="CD101" s="7"/>
      <c r="CF101" s="8"/>
      <c r="FC101" s="1">
        <f t="shared" si="29"/>
        <v>19.399999999999999</v>
      </c>
      <c r="FD101" s="12" t="str">
        <f t="shared" si="18"/>
        <v>0.0001-1.335918i</v>
      </c>
      <c r="FE101" s="13" t="str">
        <f t="shared" si="19"/>
        <v>0.000001-0.055663i</v>
      </c>
      <c r="FF101" s="13" t="str">
        <f t="shared" si="20"/>
        <v>0.010799+20.949427i</v>
      </c>
      <c r="FG101" s="14" t="str">
        <f t="shared" si="21"/>
        <v>10.798674+0.0001i</v>
      </c>
      <c r="FI101" s="1" t="str">
        <f t="shared" si="22"/>
        <v>0.0108+20.893764i</v>
      </c>
      <c r="FJ101" s="1" t="str">
        <f t="shared" si="23"/>
        <v>0.114536+225.624947i</v>
      </c>
      <c r="FK101" s="1" t="str">
        <f t="shared" si="24"/>
        <v>10.809474+20.893864i</v>
      </c>
      <c r="FL101" s="1" t="str">
        <f t="shared" si="25"/>
        <v>8.520834+4.402785i</v>
      </c>
      <c r="FM101" s="1" t="str">
        <f t="shared" si="26"/>
        <v>8.520934+3.066867i</v>
      </c>
      <c r="FN101" s="1">
        <f t="shared" si="27"/>
        <v>19.399999999999999</v>
      </c>
      <c r="FO101" s="1">
        <f t="shared" si="28"/>
        <v>9.0560471193586984</v>
      </c>
      <c r="FZ101" s="53">
        <f t="shared" si="30"/>
        <v>0</v>
      </c>
      <c r="GA101" s="1">
        <f t="shared" si="31"/>
        <v>0</v>
      </c>
    </row>
    <row r="102" spans="2:183" ht="18" customHeight="1" x14ac:dyDescent="0.25">
      <c r="B102" s="6"/>
      <c r="AN102" s="9"/>
      <c r="AP102" s="8"/>
      <c r="AR102" s="6"/>
      <c r="CD102" s="9"/>
      <c r="CF102" s="8"/>
      <c r="FC102" s="1">
        <f t="shared" si="29"/>
        <v>19.600000000000001</v>
      </c>
      <c r="FD102" s="12" t="str">
        <f t="shared" si="18"/>
        <v>0.0001-1.322287i</v>
      </c>
      <c r="FE102" s="13" t="str">
        <f t="shared" si="19"/>
        <v>0.000001-0.055095i</v>
      </c>
      <c r="FF102" s="13" t="str">
        <f t="shared" si="20"/>
        <v>0.010799+21.1654i</v>
      </c>
      <c r="FG102" s="14" t="str">
        <f t="shared" si="21"/>
        <v>10.798674+0.0001i</v>
      </c>
      <c r="FI102" s="1" t="str">
        <f t="shared" si="22"/>
        <v>0.0108+21.110305i</v>
      </c>
      <c r="FJ102" s="1" t="str">
        <f t="shared" si="23"/>
        <v>0.114515+227.963303i</v>
      </c>
      <c r="FK102" s="1" t="str">
        <f t="shared" si="24"/>
        <v>10.809474+21.110405i</v>
      </c>
      <c r="FL102" s="1" t="str">
        <f t="shared" si="25"/>
        <v>8.557667+4.376484i</v>
      </c>
      <c r="FM102" s="1" t="str">
        <f t="shared" si="26"/>
        <v>8.557767+3.054197i</v>
      </c>
      <c r="FN102" s="1">
        <f t="shared" si="27"/>
        <v>19.600000000000001</v>
      </c>
      <c r="FO102" s="1">
        <f t="shared" si="28"/>
        <v>9.0864456935095355</v>
      </c>
      <c r="FZ102" s="53">
        <f t="shared" si="30"/>
        <v>0</v>
      </c>
      <c r="GA102" s="1">
        <f t="shared" si="31"/>
        <v>0</v>
      </c>
    </row>
    <row r="103" spans="2:183" ht="18" customHeight="1" thickBot="1" x14ac:dyDescent="0.3">
      <c r="B103" s="6"/>
      <c r="C103" s="10" t="str">
        <f>H12 &amp; " | " &amp; AE13</f>
        <v>Enter Customer PO #  | Stage 1</v>
      </c>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1"/>
      <c r="AO103" s="10"/>
      <c r="AP103" s="8"/>
      <c r="AR103" s="6"/>
      <c r="AS103" s="10" t="str">
        <f>H12 &amp; " | " &amp; AE13</f>
        <v>Enter Customer PO #  | Stage 1</v>
      </c>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1"/>
      <c r="CE103" s="10"/>
      <c r="CF103" s="8"/>
      <c r="FC103" s="1">
        <f t="shared" si="29"/>
        <v>19.8</v>
      </c>
      <c r="FD103" s="12" t="str">
        <f t="shared" si="18"/>
        <v>0.0001-1.30893i</v>
      </c>
      <c r="FE103" s="13" t="str">
        <f t="shared" si="19"/>
        <v>0.000001-0.054539i</v>
      </c>
      <c r="FF103" s="13" t="str">
        <f t="shared" si="20"/>
        <v>0.010799+21.381374i</v>
      </c>
      <c r="FG103" s="14" t="str">
        <f t="shared" si="21"/>
        <v>10.798674+0.0001i</v>
      </c>
      <c r="FI103" s="1" t="str">
        <f t="shared" si="22"/>
        <v>0.0108+21.326835i</v>
      </c>
      <c r="FJ103" s="1" t="str">
        <f t="shared" si="23"/>
        <v>0.114493+230.30154i</v>
      </c>
      <c r="FK103" s="1" t="str">
        <f t="shared" si="24"/>
        <v>10.809474+21.326935i</v>
      </c>
      <c r="FL103" s="1" t="str">
        <f t="shared" si="25"/>
        <v>8.593687+4.350308i</v>
      </c>
      <c r="FM103" s="1" t="str">
        <f t="shared" si="26"/>
        <v>8.593787+3.041378i</v>
      </c>
      <c r="FN103" s="1">
        <f t="shared" ref="FN103:FN134" si="32">FC103</f>
        <v>19.8</v>
      </c>
      <c r="FO103" s="1">
        <f t="shared" ref="FO103:FO134" si="33">IMABS(FM103)</f>
        <v>9.1160931950179744</v>
      </c>
      <c r="FZ103" s="53">
        <f t="shared" si="30"/>
        <v>0</v>
      </c>
      <c r="GA103" s="1">
        <f t="shared" si="31"/>
        <v>0</v>
      </c>
    </row>
    <row r="104" spans="2:183" ht="18" customHeight="1" x14ac:dyDescent="0.25">
      <c r="B104" s="6"/>
      <c r="AN104" s="9"/>
      <c r="AP104" s="8"/>
      <c r="AR104" s="6"/>
      <c r="CD104" s="9"/>
      <c r="CF104" s="8"/>
      <c r="FC104" s="1">
        <f t="shared" si="29"/>
        <v>20</v>
      </c>
      <c r="FD104" s="12" t="str">
        <f t="shared" si="18"/>
        <v>0.0001-1.295841i</v>
      </c>
      <c r="FE104" s="13" t="str">
        <f t="shared" si="19"/>
        <v>0.000001-0.053993i</v>
      </c>
      <c r="FF104" s="13" t="str">
        <f t="shared" si="20"/>
        <v>0.010799+21.597347i</v>
      </c>
      <c r="FG104" s="14" t="str">
        <f t="shared" si="21"/>
        <v>10.798674+0.0001i</v>
      </c>
      <c r="FI104" s="1" t="str">
        <f t="shared" si="22"/>
        <v>0.0108+21.543354i</v>
      </c>
      <c r="FJ104" s="1" t="str">
        <f t="shared" si="23"/>
        <v>0.114471+232.639658i</v>
      </c>
      <c r="FK104" s="1" t="str">
        <f t="shared" si="24"/>
        <v>10.809474+21.543454i</v>
      </c>
      <c r="FL104" s="1" t="str">
        <f t="shared" si="25"/>
        <v>8.628916+4.324263i</v>
      </c>
      <c r="FM104" s="1" t="str">
        <f t="shared" si="26"/>
        <v>8.629016+3.028422i</v>
      </c>
      <c r="FN104" s="1">
        <f t="shared" si="32"/>
        <v>20</v>
      </c>
      <c r="FO104" s="1">
        <f t="shared" si="33"/>
        <v>9.1450126811470316</v>
      </c>
      <c r="FZ104" s="53">
        <f t="shared" si="30"/>
        <v>135.22845862024107</v>
      </c>
      <c r="GA104" s="1">
        <f t="shared" si="31"/>
        <v>18286.736020806253</v>
      </c>
    </row>
    <row r="105" spans="2:183" ht="18" customHeight="1" x14ac:dyDescent="0.3">
      <c r="B105" s="6"/>
      <c r="C105" s="30" t="s">
        <v>111</v>
      </c>
      <c r="D105" s="21"/>
      <c r="E105" s="21"/>
      <c r="F105" s="21"/>
      <c r="G105" s="21"/>
      <c r="H105" s="21"/>
      <c r="I105" s="21"/>
      <c r="J105" s="21"/>
      <c r="K105" s="21"/>
      <c r="L105" s="21"/>
      <c r="M105" s="21"/>
      <c r="N105" s="21"/>
      <c r="AO105" s="17"/>
      <c r="AP105" s="8"/>
      <c r="AR105" s="6"/>
      <c r="AS105" s="30" t="s">
        <v>112</v>
      </c>
      <c r="CE105" s="17"/>
      <c r="CF105" s="8"/>
      <c r="FC105" s="1">
        <f t="shared" si="29"/>
        <v>20.2</v>
      </c>
      <c r="FD105" s="12" t="str">
        <f t="shared" si="18"/>
        <v>0.0001-1.283011i</v>
      </c>
      <c r="FE105" s="13" t="str">
        <f t="shared" si="19"/>
        <v>0.000001-0.053459i</v>
      </c>
      <c r="FF105" s="13" t="str">
        <f t="shared" si="20"/>
        <v>0.010799+21.813321i</v>
      </c>
      <c r="FG105" s="14" t="str">
        <f t="shared" si="21"/>
        <v>10.798674+0.0001i</v>
      </c>
      <c r="FI105" s="1" t="str">
        <f t="shared" si="22"/>
        <v>0.0108+21.759862i</v>
      </c>
      <c r="FJ105" s="1" t="str">
        <f t="shared" si="23"/>
        <v>0.11445+234.977657i</v>
      </c>
      <c r="FK105" s="1" t="str">
        <f t="shared" si="24"/>
        <v>10.809474+21.759962i</v>
      </c>
      <c r="FL105" s="1" t="str">
        <f t="shared" si="25"/>
        <v>8.663374+4.298356i</v>
      </c>
      <c r="FM105" s="1" t="str">
        <f t="shared" si="26"/>
        <v>8.663474+3.015345i</v>
      </c>
      <c r="FN105" s="1">
        <f t="shared" si="32"/>
        <v>20.2</v>
      </c>
      <c r="FO105" s="1">
        <f t="shared" si="33"/>
        <v>9.17322665247627</v>
      </c>
      <c r="FZ105" s="53">
        <f t="shared" si="30"/>
        <v>98.967462221517351</v>
      </c>
      <c r="GA105" s="1">
        <f t="shared" si="31"/>
        <v>9794.5585785674648</v>
      </c>
    </row>
    <row r="106" spans="2:183" ht="18" customHeight="1" x14ac:dyDescent="0.3">
      <c r="B106" s="6"/>
      <c r="C106" s="47"/>
      <c r="D106" s="97" t="s">
        <v>113</v>
      </c>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47"/>
      <c r="AP106" s="8"/>
      <c r="AR106" s="6"/>
      <c r="CF106" s="8"/>
      <c r="FC106" s="1">
        <f t="shared" si="29"/>
        <v>20.399999999999999</v>
      </c>
      <c r="FD106" s="12" t="str">
        <f t="shared" si="18"/>
        <v>0.0001-1.270432i</v>
      </c>
      <c r="FE106" s="13" t="str">
        <f t="shared" si="19"/>
        <v>0.000001-0.052935i</v>
      </c>
      <c r="FF106" s="13" t="str">
        <f t="shared" si="20"/>
        <v>0.010799+22.029294i</v>
      </c>
      <c r="FG106" s="14" t="str">
        <f t="shared" si="21"/>
        <v>10.798674+0.0001i</v>
      </c>
      <c r="FI106" s="1" t="str">
        <f t="shared" si="22"/>
        <v>0.0108+21.976359i</v>
      </c>
      <c r="FJ106" s="1" t="str">
        <f t="shared" si="23"/>
        <v>0.114428+237.315538i</v>
      </c>
      <c r="FK106" s="1" t="str">
        <f t="shared" si="24"/>
        <v>10.809474+21.976459i</v>
      </c>
      <c r="FL106" s="1" t="str">
        <f t="shared" si="25"/>
        <v>8.697082+4.272592i</v>
      </c>
      <c r="FM106" s="1" t="str">
        <f t="shared" si="26"/>
        <v>8.697182+3.00216i</v>
      </c>
      <c r="FN106" s="1">
        <f t="shared" si="32"/>
        <v>20.399999999999999</v>
      </c>
      <c r="FO106" s="1">
        <f t="shared" si="33"/>
        <v>9.2007575452635422</v>
      </c>
      <c r="FZ106" s="53">
        <f t="shared" si="30"/>
        <v>60.815216566561162</v>
      </c>
      <c r="GA106" s="1">
        <f t="shared" si="31"/>
        <v>3698.4905660377353</v>
      </c>
    </row>
    <row r="107" spans="2:183" ht="18" customHeight="1" x14ac:dyDescent="0.3">
      <c r="B107" s="6"/>
      <c r="AP107" s="8"/>
      <c r="AR107" s="6"/>
      <c r="AS107" s="97" t="str">
        <f>S20&amp;" Hertz Losses"</f>
        <v>60 Hertz Losses</v>
      </c>
      <c r="AT107" s="97"/>
      <c r="AU107" s="97"/>
      <c r="AV107" s="97"/>
      <c r="AW107" s="97"/>
      <c r="AX107" s="9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7"/>
      <c r="CE107" s="97"/>
      <c r="CF107" s="8"/>
      <c r="FC107" s="1">
        <f t="shared" si="29"/>
        <v>20.6</v>
      </c>
      <c r="FD107" s="12" t="str">
        <f t="shared" si="18"/>
        <v>0.0001-1.258098i</v>
      </c>
      <c r="FE107" s="13" t="str">
        <f t="shared" si="19"/>
        <v>0.000001-0.052421i</v>
      </c>
      <c r="FF107" s="13" t="str">
        <f t="shared" si="20"/>
        <v>0.010799+22.245268i</v>
      </c>
      <c r="FG107" s="14" t="str">
        <f t="shared" si="21"/>
        <v>10.798674+0.0001i</v>
      </c>
      <c r="FI107" s="1" t="str">
        <f t="shared" si="22"/>
        <v>0.0108+22.192847i</v>
      </c>
      <c r="FJ107" s="1" t="str">
        <f t="shared" si="23"/>
        <v>0.114406+239.653321i</v>
      </c>
      <c r="FK107" s="1" t="str">
        <f t="shared" si="24"/>
        <v>10.809474+22.192947i</v>
      </c>
      <c r="FL107" s="1" t="str">
        <f t="shared" si="25"/>
        <v>8.730059+4.246977i</v>
      </c>
      <c r="FM107" s="1" t="str">
        <f t="shared" si="26"/>
        <v>8.730159+2.988879i</v>
      </c>
      <c r="FN107" s="1">
        <f t="shared" si="32"/>
        <v>20.6</v>
      </c>
      <c r="FO107" s="1">
        <f t="shared" si="33"/>
        <v>9.2276255798510824</v>
      </c>
      <c r="FZ107" s="53">
        <f t="shared" si="30"/>
        <v>27.539247605442604</v>
      </c>
      <c r="GA107" s="1">
        <f t="shared" si="31"/>
        <v>758.41015867387625</v>
      </c>
    </row>
    <row r="108" spans="2:183" ht="18" customHeight="1" x14ac:dyDescent="0.25">
      <c r="B108" s="6"/>
      <c r="G108" s="35" t="s">
        <v>115</v>
      </c>
      <c r="H108" s="54" t="s">
        <v>250</v>
      </c>
      <c r="I108" s="38"/>
      <c r="J108" s="38"/>
      <c r="K108" s="38"/>
      <c r="L108" s="38"/>
      <c r="M108" s="38"/>
      <c r="N108" s="38"/>
      <c r="O108" s="38"/>
      <c r="Q108" s="24"/>
      <c r="R108" s="24"/>
      <c r="S108" s="24"/>
      <c r="T108" s="24"/>
      <c r="U108" s="24"/>
      <c r="V108" s="24"/>
      <c r="W108" s="32" t="s">
        <v>117</v>
      </c>
      <c r="X108" s="104" t="s">
        <v>118</v>
      </c>
      <c r="Y108" s="104"/>
      <c r="Z108" s="104"/>
      <c r="AA108" s="104"/>
      <c r="AB108" s="104"/>
      <c r="AC108" s="104"/>
      <c r="AD108" s="104"/>
      <c r="AE108" s="104"/>
      <c r="AF108" s="104"/>
      <c r="AG108" s="104"/>
      <c r="AH108" s="104"/>
      <c r="AI108" s="104"/>
      <c r="AJ108" s="104"/>
      <c r="AK108" s="104"/>
      <c r="AL108" s="104"/>
      <c r="AM108" s="104"/>
      <c r="AN108" s="104"/>
      <c r="AO108" s="104"/>
      <c r="AP108" s="8"/>
      <c r="AR108" s="6"/>
      <c r="AT108" s="113" t="s">
        <v>251</v>
      </c>
      <c r="AU108" s="113"/>
      <c r="AV108" s="113"/>
      <c r="AW108" s="113"/>
      <c r="AX108" s="113"/>
      <c r="AY108" s="113"/>
      <c r="AZ108" s="113"/>
      <c r="BA108" s="113"/>
      <c r="BB108" s="113"/>
      <c r="BC108" s="113"/>
      <c r="BD108" s="113"/>
      <c r="BE108" s="113"/>
      <c r="BF108" s="113"/>
      <c r="BG108" s="113"/>
      <c r="BH108" s="107">
        <f>0.1*AJ29*3</f>
        <v>1148.3076946821529</v>
      </c>
      <c r="BI108" s="107"/>
      <c r="BJ108" s="107"/>
      <c r="BK108" s="107"/>
      <c r="BL108" s="1" t="str">
        <f t="shared" ref="BL108:BL114" si="34">"Watts, 3-Phase or "&amp;ROUND(BH108*3.412141,0)&amp;" BTUs/Hour"</f>
        <v>Watts, 3-Phase or 3918 BTUs/Hour</v>
      </c>
      <c r="CF108" s="8"/>
      <c r="FC108" s="1">
        <f t="shared" si="29"/>
        <v>20.8</v>
      </c>
      <c r="FD108" s="12" t="str">
        <f t="shared" si="18"/>
        <v>0.0001-1.246001i</v>
      </c>
      <c r="FE108" s="13" t="str">
        <f t="shared" si="19"/>
        <v>0.000001-0.051917i</v>
      </c>
      <c r="FF108" s="13" t="str">
        <f t="shared" si="20"/>
        <v>0.010799+22.461241i</v>
      </c>
      <c r="FG108" s="14" t="str">
        <f t="shared" si="21"/>
        <v>10.798674+0.0001i</v>
      </c>
      <c r="FI108" s="1" t="str">
        <f t="shared" si="22"/>
        <v>0.0108+22.409324i</v>
      </c>
      <c r="FJ108" s="1" t="str">
        <f t="shared" si="23"/>
        <v>0.114385+241.990986i</v>
      </c>
      <c r="FK108" s="1" t="str">
        <f t="shared" si="24"/>
        <v>10.809474+22.409424i</v>
      </c>
      <c r="FL108" s="1" t="str">
        <f t="shared" si="25"/>
        <v>8.762324+4.221515i</v>
      </c>
      <c r="FM108" s="1" t="str">
        <f t="shared" si="26"/>
        <v>8.762424+2.975514i</v>
      </c>
      <c r="FN108" s="1">
        <f t="shared" si="32"/>
        <v>20.8</v>
      </c>
      <c r="FO108" s="1">
        <f t="shared" si="33"/>
        <v>9.2538509778346878</v>
      </c>
      <c r="FZ108" s="53">
        <f t="shared" si="30"/>
        <v>15.249788858431591</v>
      </c>
      <c r="GA108" s="1">
        <f t="shared" si="31"/>
        <v>232.55606022674431</v>
      </c>
    </row>
    <row r="109" spans="2:183" ht="18" customHeight="1" x14ac:dyDescent="0.25">
      <c r="B109" s="6"/>
      <c r="G109" s="35" t="s">
        <v>34</v>
      </c>
      <c r="H109" s="54" t="str">
        <f>AE13</f>
        <v>Stage 1</v>
      </c>
      <c r="I109" s="38"/>
      <c r="J109" s="38"/>
      <c r="K109" s="38"/>
      <c r="L109" s="38"/>
      <c r="M109" s="38"/>
      <c r="N109" s="38"/>
      <c r="O109" s="38"/>
      <c r="AP109" s="8"/>
      <c r="AR109" s="6"/>
      <c r="AT109" s="119" t="s">
        <v>252</v>
      </c>
      <c r="AU109" s="119"/>
      <c r="AV109" s="119"/>
      <c r="AW109" s="119"/>
      <c r="AX109" s="119"/>
      <c r="AY109" s="119"/>
      <c r="AZ109" s="119"/>
      <c r="BA109" s="119"/>
      <c r="BB109" s="119"/>
      <c r="BC109" s="119"/>
      <c r="BD109" s="119"/>
      <c r="BE109" s="119"/>
      <c r="BF109" s="119"/>
      <c r="BG109" s="119"/>
      <c r="BH109" s="107">
        <f>(1.9*BJ19+12)*S29*3</f>
        <v>3033.55373126718</v>
      </c>
      <c r="BI109" s="107"/>
      <c r="BJ109" s="107"/>
      <c r="BK109" s="107"/>
      <c r="BL109" s="1" t="str">
        <f t="shared" si="34"/>
        <v>Watts, 3-Phase or 10351 BTUs/Hour</v>
      </c>
      <c r="CF109" s="8"/>
      <c r="FC109" s="1">
        <f t="shared" si="29"/>
        <v>21</v>
      </c>
      <c r="FD109" s="12" t="str">
        <f t="shared" si="18"/>
        <v>0.0001-1.234134i</v>
      </c>
      <c r="FE109" s="13" t="str">
        <f t="shared" si="19"/>
        <v>0.000001-0.051422i</v>
      </c>
      <c r="FF109" s="13" t="str">
        <f t="shared" si="20"/>
        <v>0.010799+22.677215i</v>
      </c>
      <c r="FG109" s="14" t="str">
        <f t="shared" si="21"/>
        <v>10.798674+0.0001i</v>
      </c>
      <c r="FI109" s="1" t="str">
        <f t="shared" si="22"/>
        <v>0.0108+22.625793i</v>
      </c>
      <c r="FJ109" s="1" t="str">
        <f t="shared" si="23"/>
        <v>0.114363+244.328564i</v>
      </c>
      <c r="FK109" s="1" t="str">
        <f t="shared" si="24"/>
        <v>10.809474+22.625893i</v>
      </c>
      <c r="FL109" s="1" t="str">
        <f t="shared" si="25"/>
        <v>8.793895+4.196211i</v>
      </c>
      <c r="FM109" s="1" t="str">
        <f t="shared" si="26"/>
        <v>8.793995+2.962077i</v>
      </c>
      <c r="FN109" s="1">
        <f t="shared" si="32"/>
        <v>21</v>
      </c>
      <c r="FO109" s="1">
        <f t="shared" si="33"/>
        <v>9.279453012648645</v>
      </c>
      <c r="FZ109" s="53">
        <f t="shared" si="30"/>
        <v>7.0013792933718424</v>
      </c>
      <c r="GA109" s="1">
        <f t="shared" si="31"/>
        <v>49.019312009655998</v>
      </c>
    </row>
    <row r="110" spans="2:183" ht="18" customHeight="1" x14ac:dyDescent="0.25">
      <c r="B110" s="6"/>
      <c r="G110" s="35" t="s">
        <v>121</v>
      </c>
      <c r="H110" s="120">
        <f>S19</f>
        <v>5</v>
      </c>
      <c r="I110" s="121"/>
      <c r="J110" s="121"/>
      <c r="K110" s="121"/>
      <c r="L110" s="121"/>
      <c r="M110" s="121"/>
      <c r="N110" s="121"/>
      <c r="O110" s="121"/>
      <c r="AP110" s="8"/>
      <c r="AR110" s="6"/>
      <c r="AT110" s="113" t="s">
        <v>253</v>
      </c>
      <c r="AU110" s="113"/>
      <c r="AV110" s="113"/>
      <c r="AW110" s="113"/>
      <c r="AX110" s="113"/>
      <c r="AY110" s="113"/>
      <c r="AZ110" s="113"/>
      <c r="BA110" s="113"/>
      <c r="BB110" s="113"/>
      <c r="BC110" s="113"/>
      <c r="BD110" s="113"/>
      <c r="BE110" s="113"/>
      <c r="BF110" s="113"/>
      <c r="BG110" s="113"/>
      <c r="BH110" s="107">
        <f>3*0.1*AJ35</f>
        <v>277.81189690863522</v>
      </c>
      <c r="BI110" s="107"/>
      <c r="BJ110" s="107"/>
      <c r="BK110" s="107"/>
      <c r="BL110" s="1" t="str">
        <f t="shared" si="34"/>
        <v>Watts, 3-Phase or 948 BTUs/Hour</v>
      </c>
      <c r="CF110" s="8"/>
      <c r="FC110" s="1">
        <f t="shared" si="29"/>
        <v>21.2</v>
      </c>
      <c r="FD110" s="12" t="str">
        <f t="shared" si="18"/>
        <v>0.0001-1.222491i</v>
      </c>
      <c r="FE110" s="13" t="str">
        <f t="shared" si="19"/>
        <v>0.000001-0.050937i</v>
      </c>
      <c r="FF110" s="13" t="str">
        <f t="shared" si="20"/>
        <v>0.010799+22.893188i</v>
      </c>
      <c r="FG110" s="14" t="str">
        <f t="shared" si="21"/>
        <v>10.798674+0.0001i</v>
      </c>
      <c r="FI110" s="1" t="str">
        <f t="shared" si="22"/>
        <v>0.0108+22.842251i</v>
      </c>
      <c r="FJ110" s="1" t="str">
        <f t="shared" si="23"/>
        <v>0.114341+246.666023i</v>
      </c>
      <c r="FK110" s="1" t="str">
        <f t="shared" si="24"/>
        <v>10.809474+22.842351i</v>
      </c>
      <c r="FL110" s="1" t="str">
        <f t="shared" si="25"/>
        <v>8.824791+4.171068i</v>
      </c>
      <c r="FM110" s="1" t="str">
        <f t="shared" si="26"/>
        <v>8.824891+2.948577i</v>
      </c>
      <c r="FN110" s="1">
        <f t="shared" si="32"/>
        <v>21.2</v>
      </c>
      <c r="FO110" s="1">
        <f t="shared" si="33"/>
        <v>9.3044509503145854</v>
      </c>
      <c r="FZ110" s="53">
        <f t="shared" si="30"/>
        <v>5.9904139484082579</v>
      </c>
      <c r="GA110" s="1">
        <f t="shared" si="31"/>
        <v>35.885059273284213</v>
      </c>
    </row>
    <row r="111" spans="2:183" ht="18" customHeight="1" x14ac:dyDescent="0.25">
      <c r="B111" s="6"/>
      <c r="H111" s="18"/>
      <c r="AP111" s="8"/>
      <c r="AR111" s="6"/>
      <c r="AT111" s="113" t="s">
        <v>254</v>
      </c>
      <c r="AU111" s="113"/>
      <c r="AV111" s="113"/>
      <c r="AW111" s="113"/>
      <c r="AX111" s="113"/>
      <c r="AY111" s="113"/>
      <c r="AZ111" s="113"/>
      <c r="BA111" s="113"/>
      <c r="BB111" s="113"/>
      <c r="BC111" s="113"/>
      <c r="BD111" s="113"/>
      <c r="BE111" s="113"/>
      <c r="BF111" s="113"/>
      <c r="BG111" s="113"/>
      <c r="BH111" s="107">
        <f>(1.9*BJ36+12)*S35*3</f>
        <v>3069.5537312671795</v>
      </c>
      <c r="BI111" s="107"/>
      <c r="BJ111" s="107"/>
      <c r="BK111" s="107"/>
      <c r="BL111" s="1" t="str">
        <f t="shared" si="34"/>
        <v>Watts, 3-Phase or 10474 BTUs/Hour</v>
      </c>
      <c r="CF111" s="8"/>
      <c r="FC111" s="1">
        <f t="shared" si="29"/>
        <v>21.4</v>
      </c>
      <c r="FD111" s="12" t="str">
        <f t="shared" si="18"/>
        <v>0.0001-1.211066i</v>
      </c>
      <c r="FE111" s="13" t="str">
        <f t="shared" si="19"/>
        <v>0.000001-0.050461i</v>
      </c>
      <c r="FF111" s="13" t="str">
        <f t="shared" si="20"/>
        <v>0.010799+23.109162i</v>
      </c>
      <c r="FG111" s="14" t="str">
        <f t="shared" si="21"/>
        <v>10.798674+0.0001i</v>
      </c>
      <c r="FI111" s="1" t="str">
        <f t="shared" si="22"/>
        <v>0.0108+23.058701i</v>
      </c>
      <c r="FJ111" s="1" t="str">
        <f t="shared" si="23"/>
        <v>0.11432+249.003396i</v>
      </c>
      <c r="FK111" s="1" t="str">
        <f t="shared" si="24"/>
        <v>10.809474+23.058801i</v>
      </c>
      <c r="FL111" s="1" t="str">
        <f t="shared" si="25"/>
        <v>8.855028+4.146091i</v>
      </c>
      <c r="FM111" s="1" t="str">
        <f t="shared" si="26"/>
        <v>8.855128+2.935025i</v>
      </c>
      <c r="FN111" s="1">
        <f t="shared" si="32"/>
        <v>21.4</v>
      </c>
      <c r="FO111" s="1">
        <f t="shared" si="33"/>
        <v>9.3288618623607569</v>
      </c>
      <c r="FZ111" s="53">
        <f t="shared" si="30"/>
        <v>5.5785538521217326</v>
      </c>
      <c r="GA111" s="1">
        <f t="shared" si="31"/>
        <v>31.120263081022223</v>
      </c>
    </row>
    <row r="112" spans="2:183" ht="18" customHeight="1" x14ac:dyDescent="0.3">
      <c r="B112" s="6"/>
      <c r="D112" s="114" t="s">
        <v>123</v>
      </c>
      <c r="E112" s="114"/>
      <c r="F112" s="114"/>
      <c r="G112" s="114"/>
      <c r="H112" s="114"/>
      <c r="I112" s="114"/>
      <c r="J112" s="114"/>
      <c r="K112" s="114"/>
      <c r="M112" s="97" t="s">
        <v>124</v>
      </c>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8"/>
      <c r="AR112" s="6"/>
      <c r="AT112" s="74" t="str">
        <f>"High-Pass Resistor Losses, "&amp;S20&amp;" Hertz:"</f>
        <v>High-Pass Resistor Losses, 60 Hertz:</v>
      </c>
      <c r="AU112" s="74"/>
      <c r="AV112" s="74"/>
      <c r="AW112" s="74"/>
      <c r="AX112" s="74"/>
      <c r="AY112" s="74"/>
      <c r="AZ112" s="74"/>
      <c r="BA112" s="74"/>
      <c r="BB112" s="74"/>
      <c r="BC112" s="74"/>
      <c r="BD112" s="74"/>
      <c r="BE112" s="74"/>
      <c r="BF112" s="74"/>
      <c r="BG112" s="74"/>
      <c r="BH112" s="165">
        <f>FE285*1000*3</f>
        <v>0</v>
      </c>
      <c r="BI112" s="165"/>
      <c r="BJ112" s="165"/>
      <c r="BK112" s="165"/>
      <c r="BL112" s="1" t="str">
        <f t="shared" si="34"/>
        <v>Watts, 3-Phase or 0 BTUs/Hour</v>
      </c>
      <c r="CF112" s="8"/>
      <c r="FC112" s="1">
        <f t="shared" si="29"/>
        <v>21.6</v>
      </c>
      <c r="FD112" s="12" t="str">
        <f t="shared" si="18"/>
        <v>0.0001-1.199853i</v>
      </c>
      <c r="FE112" s="13" t="str">
        <f t="shared" si="19"/>
        <v>0.000001-0.049994i</v>
      </c>
      <c r="FF112" s="13" t="str">
        <f t="shared" si="20"/>
        <v>0.010799+23.325135i</v>
      </c>
      <c r="FG112" s="14" t="str">
        <f t="shared" si="21"/>
        <v>10.798674+0.0001i</v>
      </c>
      <c r="FI112" s="1" t="str">
        <f t="shared" si="22"/>
        <v>0.0108+23.275141i</v>
      </c>
      <c r="FJ112" s="1" t="str">
        <f t="shared" si="23"/>
        <v>0.114298+251.340661i</v>
      </c>
      <c r="FK112" s="1" t="str">
        <f t="shared" si="24"/>
        <v>10.809474+23.275241i</v>
      </c>
      <c r="FL112" s="1" t="str">
        <f t="shared" si="25"/>
        <v>8.884624+4.121281i</v>
      </c>
      <c r="FM112" s="1" t="str">
        <f t="shared" si="26"/>
        <v>8.884724+2.921428i</v>
      </c>
      <c r="FN112" s="1">
        <f t="shared" si="32"/>
        <v>21.6</v>
      </c>
      <c r="FO112" s="1">
        <f t="shared" si="33"/>
        <v>9.352703465595388</v>
      </c>
      <c r="FZ112" s="53">
        <f t="shared" si="30"/>
        <v>0</v>
      </c>
      <c r="GA112" s="1">
        <f t="shared" si="31"/>
        <v>0</v>
      </c>
    </row>
    <row r="113" spans="2:184" ht="18" customHeight="1" thickBot="1" x14ac:dyDescent="0.3">
      <c r="B113" s="6"/>
      <c r="D113" s="115" t="s">
        <v>125</v>
      </c>
      <c r="E113" s="115"/>
      <c r="F113" s="115"/>
      <c r="G113" s="116"/>
      <c r="H113" s="117" t="s">
        <v>126</v>
      </c>
      <c r="I113" s="115"/>
      <c r="J113" s="115"/>
      <c r="K113" s="115"/>
      <c r="V113" s="35" t="s">
        <v>127</v>
      </c>
      <c r="W113" s="108">
        <v>3</v>
      </c>
      <c r="X113" s="108"/>
      <c r="Y113" s="108"/>
      <c r="Z113" s="55"/>
      <c r="AA113" s="55"/>
      <c r="AB113" s="55"/>
      <c r="AC113" s="55"/>
      <c r="AD113" s="55"/>
      <c r="AE113" s="55"/>
      <c r="AF113" s="55"/>
      <c r="AG113" s="55"/>
      <c r="AH113" s="55"/>
      <c r="AI113" s="55"/>
      <c r="AJ113" s="55"/>
      <c r="AK113" s="55"/>
      <c r="AL113" s="55"/>
      <c r="AM113" s="55"/>
      <c r="AN113" s="55"/>
      <c r="AP113" s="8"/>
      <c r="AR113" s="6"/>
      <c r="AT113" s="74" t="str">
        <f>"Iron-Core Reactor Losses, "&amp;S20&amp;" Hertz:"</f>
        <v>Iron-Core Reactor Losses, 60 Hertz:</v>
      </c>
      <c r="AU113" s="74"/>
      <c r="AV113" s="74"/>
      <c r="AW113" s="74"/>
      <c r="AX113" s="74"/>
      <c r="AY113" s="74"/>
      <c r="AZ113" s="74"/>
      <c r="BA113" s="74"/>
      <c r="BB113" s="74"/>
      <c r="BC113" s="74"/>
      <c r="BD113" s="74"/>
      <c r="BE113" s="74"/>
      <c r="BF113" s="74"/>
      <c r="BG113" s="74"/>
      <c r="BH113" s="112">
        <f>3*FE290*1.1</f>
        <v>2756.5237729292667</v>
      </c>
      <c r="BI113" s="112"/>
      <c r="BJ113" s="112"/>
      <c r="BK113" s="112"/>
      <c r="BL113" s="1" t="str">
        <f t="shared" si="34"/>
        <v>Watts, 3-Phase or 9406 BTUs/Hour</v>
      </c>
      <c r="CF113" s="8"/>
      <c r="FC113" s="1">
        <f t="shared" si="29"/>
        <v>21.8</v>
      </c>
      <c r="FD113" s="12" t="str">
        <f t="shared" si="18"/>
        <v>0.0001-1.188845i</v>
      </c>
      <c r="FE113" s="13" t="str">
        <f t="shared" si="19"/>
        <v>0.000001-0.049535i</v>
      </c>
      <c r="FF113" s="13" t="str">
        <f t="shared" si="20"/>
        <v>0.010799+23.541108i</v>
      </c>
      <c r="FG113" s="14" t="str">
        <f t="shared" si="21"/>
        <v>10.798674+0.0001i</v>
      </c>
      <c r="FI113" s="1" t="str">
        <f t="shared" si="22"/>
        <v>0.0108+23.491573i</v>
      </c>
      <c r="FJ113" s="1" t="str">
        <f t="shared" si="23"/>
        <v>0.114277+253.67784i</v>
      </c>
      <c r="FK113" s="1" t="str">
        <f t="shared" si="24"/>
        <v>10.809474+23.491673i</v>
      </c>
      <c r="FL113" s="1" t="str">
        <f t="shared" si="25"/>
        <v>8.913596+4.096643i</v>
      </c>
      <c r="FM113" s="1" t="str">
        <f t="shared" si="26"/>
        <v>8.913696+2.907798i</v>
      </c>
      <c r="FN113" s="1">
        <f t="shared" si="32"/>
        <v>21.8</v>
      </c>
      <c r="FO113" s="1">
        <f t="shared" si="33"/>
        <v>9.3759941120512647</v>
      </c>
      <c r="FZ113" s="53">
        <f t="shared" si="30"/>
        <v>0</v>
      </c>
      <c r="GA113" s="1">
        <f t="shared" si="31"/>
        <v>0</v>
      </c>
    </row>
    <row r="114" spans="2:184" ht="18" customHeight="1" thickTop="1" x14ac:dyDescent="0.25">
      <c r="B114" s="6"/>
      <c r="D114" s="98">
        <f>J24</f>
        <v>1</v>
      </c>
      <c r="E114" s="99"/>
      <c r="F114" s="99"/>
      <c r="G114" s="99"/>
      <c r="H114" s="110">
        <f>X61*S40</f>
        <v>417.1862180215175</v>
      </c>
      <c r="I114" s="98"/>
      <c r="J114" s="98"/>
      <c r="K114" s="98"/>
      <c r="V114" s="35" t="s">
        <v>128</v>
      </c>
      <c r="W114" s="108">
        <v>1</v>
      </c>
      <c r="X114" s="108"/>
      <c r="Y114" s="108"/>
      <c r="Z114" s="55"/>
      <c r="AA114" s="55"/>
      <c r="AB114" s="55"/>
      <c r="AC114" s="55"/>
      <c r="AD114" s="55"/>
      <c r="AE114" s="55"/>
      <c r="AF114" s="55"/>
      <c r="AG114" s="55"/>
      <c r="AH114" s="55"/>
      <c r="AI114" s="55"/>
      <c r="AJ114" s="55"/>
      <c r="AK114" s="55"/>
      <c r="AL114" s="55"/>
      <c r="AM114" s="55"/>
      <c r="AN114" s="55"/>
      <c r="AP114" s="8"/>
      <c r="AR114" s="6"/>
      <c r="AT114" s="113" t="str">
        <f>"Total "&amp;S20&amp;" Hz Losses:"</f>
        <v>Total 60 Hz Losses:</v>
      </c>
      <c r="AU114" s="113"/>
      <c r="AV114" s="113"/>
      <c r="AW114" s="113"/>
      <c r="AX114" s="113"/>
      <c r="AY114" s="113"/>
      <c r="AZ114" s="113"/>
      <c r="BA114" s="113"/>
      <c r="BB114" s="113"/>
      <c r="BC114" s="113"/>
      <c r="BD114" s="113"/>
      <c r="BE114" s="113"/>
      <c r="BF114" s="113"/>
      <c r="BG114" s="113"/>
      <c r="BH114" s="107">
        <f>SUM(BH108:BK113)</f>
        <v>10285.750827054415</v>
      </c>
      <c r="BI114" s="107"/>
      <c r="BJ114" s="107"/>
      <c r="BK114" s="107"/>
      <c r="BL114" s="1" t="str">
        <f t="shared" si="34"/>
        <v>Watts, 3-Phase or 35096 BTUs/Hour</v>
      </c>
      <c r="CF114" s="8"/>
      <c r="FC114" s="1">
        <f t="shared" si="29"/>
        <v>22</v>
      </c>
      <c r="FD114" s="12" t="str">
        <f t="shared" si="18"/>
        <v>0.0001-1.178037i</v>
      </c>
      <c r="FE114" s="13" t="str">
        <f t="shared" si="19"/>
        <v>0.000001-0.049085i</v>
      </c>
      <c r="FF114" s="13" t="str">
        <f t="shared" si="20"/>
        <v>0.010799+23.757082i</v>
      </c>
      <c r="FG114" s="14" t="str">
        <f t="shared" si="21"/>
        <v>10.798674+0.0001i</v>
      </c>
      <c r="FI114" s="1" t="str">
        <f t="shared" si="22"/>
        <v>0.0108+23.707997i</v>
      </c>
      <c r="FJ114" s="1" t="str">
        <f t="shared" si="23"/>
        <v>0.114255+256.014932i</v>
      </c>
      <c r="FK114" s="1" t="str">
        <f t="shared" si="24"/>
        <v>10.809474+23.708097i</v>
      </c>
      <c r="FL114" s="1" t="str">
        <f t="shared" si="25"/>
        <v>8.941959+4.072179i</v>
      </c>
      <c r="FM114" s="1" t="str">
        <f t="shared" si="26"/>
        <v>8.942059+2.894142i</v>
      </c>
      <c r="FN114" s="1">
        <f t="shared" si="32"/>
        <v>22</v>
      </c>
      <c r="FO114" s="1">
        <f t="shared" si="33"/>
        <v>9.3987486973343977</v>
      </c>
      <c r="FZ114" s="53">
        <f t="shared" si="30"/>
        <v>4.1239292219242687</v>
      </c>
      <c r="GA114" s="1">
        <f t="shared" si="31"/>
        <v>17.006792227440904</v>
      </c>
    </row>
    <row r="115" spans="2:184" ht="18" customHeight="1" x14ac:dyDescent="0.25">
      <c r="B115" s="6"/>
      <c r="D115" s="203">
        <f>L24</f>
        <v>2</v>
      </c>
      <c r="E115" s="204"/>
      <c r="F115" s="204"/>
      <c r="G115" s="205"/>
      <c r="H115" s="100">
        <f>X62*S41</f>
        <v>0</v>
      </c>
      <c r="I115" s="101"/>
      <c r="J115" s="101"/>
      <c r="K115" s="101"/>
      <c r="V115" s="35" t="s">
        <v>130</v>
      </c>
      <c r="W115" s="106">
        <f>S17</f>
        <v>12.47</v>
      </c>
      <c r="X115" s="106"/>
      <c r="Y115" s="106"/>
      <c r="Z115" s="1" t="s">
        <v>42</v>
      </c>
      <c r="AP115" s="8"/>
      <c r="AR115" s="6"/>
      <c r="CF115" s="8"/>
      <c r="FC115" s="1">
        <f t="shared" si="29"/>
        <v>22.2</v>
      </c>
      <c r="FD115" s="12" t="str">
        <f t="shared" si="18"/>
        <v>0.0001-1.167424i</v>
      </c>
      <c r="FE115" s="13" t="str">
        <f t="shared" si="19"/>
        <v>0.000001-0.048643i</v>
      </c>
      <c r="FF115" s="13" t="str">
        <f t="shared" si="20"/>
        <v>0.010799+23.973055i</v>
      </c>
      <c r="FG115" s="14" t="str">
        <f t="shared" si="21"/>
        <v>10.798674+0.0001i</v>
      </c>
      <c r="FI115" s="1" t="str">
        <f t="shared" si="22"/>
        <v>0.0108+23.924412i</v>
      </c>
      <c r="FJ115" s="1" t="str">
        <f t="shared" si="23"/>
        <v>0.114233+258.351927i</v>
      </c>
      <c r="FK115" s="1" t="str">
        <f t="shared" si="24"/>
        <v>10.809474+23.924512i</v>
      </c>
      <c r="FL115" s="1" t="str">
        <f t="shared" si="25"/>
        <v>8.969728+4.047891i</v>
      </c>
      <c r="FM115" s="1" t="str">
        <f t="shared" si="26"/>
        <v>8.969828+2.880467i</v>
      </c>
      <c r="FN115" s="1">
        <f t="shared" si="32"/>
        <v>22.2</v>
      </c>
      <c r="FO115" s="1">
        <f t="shared" si="33"/>
        <v>9.4209821402905227</v>
      </c>
      <c r="FZ115" s="53">
        <f t="shared" si="30"/>
        <v>3.9163012749221258</v>
      </c>
      <c r="GA115" s="1">
        <f t="shared" si="31"/>
        <v>15.337415675956668</v>
      </c>
    </row>
    <row r="116" spans="2:184" ht="18" customHeight="1" x14ac:dyDescent="0.3">
      <c r="B116" s="6"/>
      <c r="D116" s="98">
        <f>N24</f>
        <v>3</v>
      </c>
      <c r="E116" s="99"/>
      <c r="F116" s="99"/>
      <c r="G116" s="194"/>
      <c r="H116" s="201">
        <f>X63*S41</f>
        <v>0</v>
      </c>
      <c r="I116" s="202"/>
      <c r="J116" s="202"/>
      <c r="K116" s="202"/>
      <c r="V116" s="35" t="s">
        <v>132</v>
      </c>
      <c r="W116" s="108">
        <v>95</v>
      </c>
      <c r="X116" s="108"/>
      <c r="Y116" s="108"/>
      <c r="Z116" s="1" t="s">
        <v>42</v>
      </c>
      <c r="AP116" s="8"/>
      <c r="AR116" s="6"/>
      <c r="AS116" s="97" t="s">
        <v>129</v>
      </c>
      <c r="AT116" s="97"/>
      <c r="AU116" s="97"/>
      <c r="AV116" s="97"/>
      <c r="AW116" s="97"/>
      <c r="AX116" s="97"/>
      <c r="AY116" s="97"/>
      <c r="AZ116" s="97"/>
      <c r="BA116" s="97"/>
      <c r="BB116" s="97"/>
      <c r="BC116" s="97"/>
      <c r="BD116" s="97"/>
      <c r="BE116" s="97"/>
      <c r="BF116" s="97"/>
      <c r="BG116" s="97"/>
      <c r="BH116" s="97"/>
      <c r="BI116" s="97"/>
      <c r="BJ116" s="97"/>
      <c r="BK116" s="97"/>
      <c r="BL116" s="97"/>
      <c r="BM116" s="97"/>
      <c r="BN116" s="97"/>
      <c r="BO116" s="97"/>
      <c r="BP116" s="97"/>
      <c r="BQ116" s="97"/>
      <c r="BR116" s="97"/>
      <c r="BS116" s="97"/>
      <c r="BT116" s="97"/>
      <c r="BU116" s="97"/>
      <c r="BV116" s="97"/>
      <c r="BW116" s="97"/>
      <c r="BX116" s="97"/>
      <c r="BY116" s="97"/>
      <c r="BZ116" s="97"/>
      <c r="CA116" s="97"/>
      <c r="CB116" s="97"/>
      <c r="CC116" s="97"/>
      <c r="CD116" s="97"/>
      <c r="CE116" s="97"/>
      <c r="CF116" s="8"/>
      <c r="DX116" s="1" t="s">
        <v>11</v>
      </c>
      <c r="FC116" s="1">
        <f t="shared" si="29"/>
        <v>22.4</v>
      </c>
      <c r="FD116" s="12" t="str">
        <f t="shared" si="18"/>
        <v>0.0001-1.157001i</v>
      </c>
      <c r="FE116" s="13" t="str">
        <f t="shared" si="19"/>
        <v>0.000001-0.048208i</v>
      </c>
      <c r="FF116" s="13" t="str">
        <f t="shared" si="20"/>
        <v>0.010799+24.189029i</v>
      </c>
      <c r="FG116" s="14" t="str">
        <f t="shared" si="21"/>
        <v>10.798674+0.0001i</v>
      </c>
      <c r="FI116" s="1" t="str">
        <f t="shared" si="22"/>
        <v>0.0108+24.140821i</v>
      </c>
      <c r="FJ116" s="1" t="str">
        <f t="shared" si="23"/>
        <v>0.114212+260.688857i</v>
      </c>
      <c r="FK116" s="1" t="str">
        <f t="shared" si="24"/>
        <v>10.809474+24.140921i</v>
      </c>
      <c r="FL116" s="1" t="str">
        <f t="shared" si="25"/>
        <v>8.996919+4.02378i</v>
      </c>
      <c r="FM116" s="1" t="str">
        <f t="shared" si="26"/>
        <v>8.997019+2.866779i</v>
      </c>
      <c r="FN116" s="1">
        <f t="shared" si="32"/>
        <v>22.4</v>
      </c>
      <c r="FO116" s="1">
        <f t="shared" si="33"/>
        <v>9.4427100305580698</v>
      </c>
      <c r="FZ116" s="53"/>
      <c r="GA116" s="1">
        <f>SUM(GA100:GA115)</f>
        <v>206963.46073367656</v>
      </c>
    </row>
    <row r="117" spans="2:184" ht="18" customHeight="1" x14ac:dyDescent="0.25">
      <c r="B117" s="6"/>
      <c r="D117" s="203">
        <f>P24</f>
        <v>4</v>
      </c>
      <c r="E117" s="204"/>
      <c r="F117" s="204"/>
      <c r="G117" s="205"/>
      <c r="H117" s="100">
        <f>X64*S41</f>
        <v>0</v>
      </c>
      <c r="I117" s="101"/>
      <c r="J117" s="101"/>
      <c r="K117" s="101"/>
      <c r="V117" s="35" t="s">
        <v>134</v>
      </c>
      <c r="W117" s="108">
        <v>35</v>
      </c>
      <c r="X117" s="108"/>
      <c r="Y117" s="108"/>
      <c r="Z117" s="1" t="s">
        <v>42</v>
      </c>
      <c r="AP117" s="8"/>
      <c r="AR117" s="6"/>
      <c r="AS117" s="18"/>
      <c r="AT117" s="113" t="s">
        <v>45</v>
      </c>
      <c r="AU117" s="113"/>
      <c r="AV117" s="113"/>
      <c r="AW117" s="113"/>
      <c r="AX117" s="113"/>
      <c r="AY117" s="113"/>
      <c r="AZ117" s="113"/>
      <c r="BA117" s="113"/>
      <c r="BB117" s="113"/>
      <c r="BC117" s="113"/>
      <c r="BD117" s="113"/>
      <c r="BE117" s="113"/>
      <c r="BF117" s="113"/>
      <c r="BG117" s="113"/>
      <c r="BH117" s="107">
        <f>SUM(FF285:FT285)*1000*3</f>
        <v>232256.14097765711</v>
      </c>
      <c r="BI117" s="107"/>
      <c r="BJ117" s="107"/>
      <c r="BK117" s="107"/>
      <c r="BL117" s="1" t="str">
        <f>"Watts, 3-Phase or "&amp;ROUND(BH117*3.412141,0)&amp;" BTUs/Hour"</f>
        <v>Watts, 3-Phase or 792491 BTUs/Hour</v>
      </c>
      <c r="CF117" s="8"/>
      <c r="FC117" s="1">
        <f t="shared" si="29"/>
        <v>22.6</v>
      </c>
      <c r="FD117" s="12" t="str">
        <f t="shared" si="18"/>
        <v>0.0001-1.146762i</v>
      </c>
      <c r="FE117" s="13" t="str">
        <f t="shared" si="19"/>
        <v>0.000001-0.047782i</v>
      </c>
      <c r="FF117" s="13" t="str">
        <f t="shared" si="20"/>
        <v>0.010799+24.405002i</v>
      </c>
      <c r="FG117" s="14" t="str">
        <f t="shared" si="21"/>
        <v>10.798674+0.0001i</v>
      </c>
      <c r="FI117" s="1" t="str">
        <f t="shared" si="22"/>
        <v>0.0108+24.35722i</v>
      </c>
      <c r="FJ117" s="1" t="str">
        <f t="shared" si="23"/>
        <v>0.11419+263.025679i</v>
      </c>
      <c r="FK117" s="1" t="str">
        <f t="shared" si="24"/>
        <v>10.809474+24.35732i</v>
      </c>
      <c r="FL117" s="1" t="str">
        <f t="shared" si="25"/>
        <v>9.023547+3.999849i</v>
      </c>
      <c r="FM117" s="1" t="str">
        <f t="shared" si="26"/>
        <v>9.023647+2.853087i</v>
      </c>
      <c r="FN117" s="1">
        <f t="shared" si="32"/>
        <v>22.6</v>
      </c>
      <c r="FO117" s="1">
        <f t="shared" si="33"/>
        <v>9.4639479399549735</v>
      </c>
      <c r="FZ117" s="53"/>
      <c r="GA117" s="1">
        <f>SQRT(GA116)</f>
        <v>454.93236940635097</v>
      </c>
      <c r="GB117" s="1" t="s">
        <v>255</v>
      </c>
    </row>
    <row r="118" spans="2:184" ht="18" customHeight="1" thickBot="1" x14ac:dyDescent="0.3">
      <c r="B118" s="6"/>
      <c r="D118" s="98">
        <f>R24</f>
        <v>5</v>
      </c>
      <c r="E118" s="99"/>
      <c r="F118" s="99"/>
      <c r="G118" s="194"/>
      <c r="H118" s="201">
        <f>X65*S41</f>
        <v>135.22845862024107</v>
      </c>
      <c r="I118" s="202"/>
      <c r="J118" s="202"/>
      <c r="K118" s="202"/>
      <c r="V118" s="35" t="s">
        <v>135</v>
      </c>
      <c r="W118" s="106">
        <f>S20</f>
        <v>60</v>
      </c>
      <c r="X118" s="106"/>
      <c r="Y118" s="106"/>
      <c r="Z118" s="1" t="s">
        <v>54</v>
      </c>
      <c r="AP118" s="8"/>
      <c r="AR118" s="6"/>
      <c r="AS118" s="18"/>
      <c r="AT118" s="113" t="s">
        <v>131</v>
      </c>
      <c r="AU118" s="113"/>
      <c r="AV118" s="113"/>
      <c r="AW118" s="113"/>
      <c r="AX118" s="113"/>
      <c r="AY118" s="113"/>
      <c r="AZ118" s="113"/>
      <c r="BA118" s="113"/>
      <c r="BB118" s="113"/>
      <c r="BC118" s="113"/>
      <c r="BD118" s="113"/>
      <c r="BE118" s="113"/>
      <c r="BF118" s="113"/>
      <c r="BG118" s="113"/>
      <c r="BH118" s="112">
        <f>3*SUM(FF290:FT290)</f>
        <v>473.97711318900991</v>
      </c>
      <c r="BI118" s="112"/>
      <c r="BJ118" s="112"/>
      <c r="BK118" s="112"/>
      <c r="BL118" s="1" t="str">
        <f>"Watts, 3-Phase or "&amp;ROUND(BH118*3.412141,0)&amp;" BTUs/Hour"</f>
        <v>Watts, 3-Phase or 1617 BTUs/Hour</v>
      </c>
      <c r="CF118" s="8"/>
      <c r="CT118" s="1" t="s">
        <v>11</v>
      </c>
      <c r="FC118" s="1">
        <f t="shared" si="29"/>
        <v>22.8</v>
      </c>
      <c r="FD118" s="12" t="str">
        <f t="shared" si="18"/>
        <v>0.0001-1.136702i</v>
      </c>
      <c r="FE118" s="13" t="str">
        <f t="shared" si="19"/>
        <v>0.000001-0.047363i</v>
      </c>
      <c r="FF118" s="13" t="str">
        <f t="shared" si="20"/>
        <v>0.010799+24.620976i</v>
      </c>
      <c r="FG118" s="14" t="str">
        <f t="shared" si="21"/>
        <v>10.798674+0.0001i</v>
      </c>
      <c r="FI118" s="1" t="str">
        <f t="shared" si="22"/>
        <v>0.0108+24.573613i</v>
      </c>
      <c r="FJ118" s="1" t="str">
        <f t="shared" si="23"/>
        <v>0.114168+265.362437i</v>
      </c>
      <c r="FK118" s="1" t="str">
        <f t="shared" si="24"/>
        <v>10.809474+24.573713i</v>
      </c>
      <c r="FL118" s="1" t="str">
        <f t="shared" si="25"/>
        <v>9.049625+3.976099i</v>
      </c>
      <c r="FM118" s="1" t="str">
        <f t="shared" si="26"/>
        <v>9.049725+2.839397i</v>
      </c>
      <c r="FN118" s="1">
        <f t="shared" si="32"/>
        <v>22.8</v>
      </c>
      <c r="FO118" s="1">
        <f t="shared" si="33"/>
        <v>9.4847086354423151</v>
      </c>
    </row>
    <row r="119" spans="2:184" ht="18" customHeight="1" thickTop="1" x14ac:dyDescent="0.25">
      <c r="B119" s="6"/>
      <c r="D119" s="203">
        <f>T24</f>
        <v>7</v>
      </c>
      <c r="E119" s="204"/>
      <c r="F119" s="204"/>
      <c r="G119" s="205"/>
      <c r="H119" s="100">
        <f>X66*S41</f>
        <v>98.967462221517351</v>
      </c>
      <c r="I119" s="101"/>
      <c r="J119" s="101"/>
      <c r="K119" s="101"/>
      <c r="V119" s="35" t="s">
        <v>137</v>
      </c>
      <c r="W119" s="105">
        <f>AJ40</f>
        <v>2.8645216221314431</v>
      </c>
      <c r="X119" s="105"/>
      <c r="Y119" s="105"/>
      <c r="Z119" s="57" t="s">
        <v>84</v>
      </c>
      <c r="AA119" s="57"/>
      <c r="AB119" s="57"/>
      <c r="AC119" s="57"/>
      <c r="AD119" s="57"/>
      <c r="AE119" s="57"/>
      <c r="AF119" s="57"/>
      <c r="AG119" s="57"/>
      <c r="AH119" s="57"/>
      <c r="AI119" s="57"/>
      <c r="AJ119" s="57"/>
      <c r="AK119" s="57"/>
      <c r="AL119" s="57"/>
      <c r="AM119" s="57"/>
      <c r="AN119" s="57"/>
      <c r="AP119" s="8"/>
      <c r="AR119" s="6"/>
      <c r="AS119" s="18"/>
      <c r="AT119" s="113" t="s">
        <v>133</v>
      </c>
      <c r="AU119" s="113"/>
      <c r="AV119" s="113"/>
      <c r="AW119" s="113"/>
      <c r="AX119" s="113"/>
      <c r="AY119" s="113"/>
      <c r="AZ119" s="113"/>
      <c r="BA119" s="113"/>
      <c r="BB119" s="113"/>
      <c r="BC119" s="113"/>
      <c r="BD119" s="113"/>
      <c r="BE119" s="113"/>
      <c r="BF119" s="113"/>
      <c r="BG119" s="113"/>
      <c r="BH119" s="107">
        <f>SUM(BH117:BK118)</f>
        <v>232730.11809084611</v>
      </c>
      <c r="BI119" s="107"/>
      <c r="BJ119" s="107"/>
      <c r="BK119" s="107"/>
      <c r="BL119" s="1" t="str">
        <f>"Watts, 3-Phase or "&amp;ROUND(BH119*3.412141,0)&amp;" BTUs/Hour"</f>
        <v>Watts, 3-Phase or 794108 BTUs/Hour</v>
      </c>
      <c r="CF119" s="8"/>
      <c r="FC119" s="1">
        <f t="shared" si="29"/>
        <v>23</v>
      </c>
      <c r="FD119" s="12" t="str">
        <f t="shared" si="18"/>
        <v>0.0001-1.126818i</v>
      </c>
      <c r="FE119" s="13" t="str">
        <f t="shared" si="19"/>
        <v>0.000001-0.046951i</v>
      </c>
      <c r="FF119" s="13" t="str">
        <f t="shared" si="20"/>
        <v>0.010799+24.836949i</v>
      </c>
      <c r="FG119" s="14" t="str">
        <f t="shared" si="21"/>
        <v>10.798674+0.0001i</v>
      </c>
      <c r="FI119" s="1" t="str">
        <f t="shared" si="22"/>
        <v>0.0108+24.789998i</v>
      </c>
      <c r="FJ119" s="1" t="str">
        <f t="shared" si="23"/>
        <v>0.114147+267.699108i</v>
      </c>
      <c r="FK119" s="1" t="str">
        <f t="shared" si="24"/>
        <v>10.809474+24.790098i</v>
      </c>
      <c r="FL119" s="1" t="str">
        <f t="shared" si="25"/>
        <v>9.075169+3.952532i</v>
      </c>
      <c r="FM119" s="1" t="str">
        <f t="shared" si="26"/>
        <v>9.075269+2.825714i</v>
      </c>
      <c r="FN119" s="1">
        <f t="shared" si="32"/>
        <v>23</v>
      </c>
      <c r="FO119" s="1">
        <f t="shared" si="33"/>
        <v>9.5050074714414077</v>
      </c>
    </row>
    <row r="120" spans="2:184" ht="18" customHeight="1" x14ac:dyDescent="0.25">
      <c r="B120" s="6"/>
      <c r="D120" s="98">
        <f>V24</f>
        <v>11</v>
      </c>
      <c r="E120" s="99"/>
      <c r="F120" s="99"/>
      <c r="G120" s="194"/>
      <c r="H120" s="201">
        <f>X67*S41</f>
        <v>60.815216566561162</v>
      </c>
      <c r="I120" s="202"/>
      <c r="J120" s="202"/>
      <c r="K120" s="202"/>
      <c r="V120" s="35" t="str">
        <f>"Reactance at "&amp;W118&amp;"Hz:"</f>
        <v>Reactance at 60Hz:</v>
      </c>
      <c r="W120" s="105">
        <f>AJ39</f>
        <v>1.0798673611111114</v>
      </c>
      <c r="X120" s="105"/>
      <c r="Y120" s="105"/>
      <c r="Z120" s="57" t="s">
        <v>44</v>
      </c>
      <c r="AA120" s="57"/>
      <c r="AB120" s="57"/>
      <c r="AC120" s="57"/>
      <c r="AD120" s="57"/>
      <c r="AE120" s="57"/>
      <c r="AF120" s="57"/>
      <c r="AG120" s="57"/>
      <c r="AH120" s="57"/>
      <c r="AI120" s="57"/>
      <c r="AJ120" s="57"/>
      <c r="AK120" s="57"/>
      <c r="AL120" s="57"/>
      <c r="AM120" s="57"/>
      <c r="AN120" s="57"/>
      <c r="AP120" s="8"/>
      <c r="AR120" s="6"/>
      <c r="CF120" s="8"/>
      <c r="FC120" s="1">
        <f t="shared" si="29"/>
        <v>23.2</v>
      </c>
      <c r="FD120" s="12" t="str">
        <f t="shared" si="18"/>
        <v>0.0001-1.117104i</v>
      </c>
      <c r="FE120" s="13" t="str">
        <f t="shared" si="19"/>
        <v>0.000001-0.046546i</v>
      </c>
      <c r="FF120" s="13" t="str">
        <f t="shared" si="20"/>
        <v>0.010799+25.052923i</v>
      </c>
      <c r="FG120" s="14" t="str">
        <f t="shared" si="21"/>
        <v>10.798674+0.0001i</v>
      </c>
      <c r="FI120" s="1" t="str">
        <f t="shared" si="22"/>
        <v>0.0108+25.006377i</v>
      </c>
      <c r="FJ120" s="1" t="str">
        <f t="shared" si="23"/>
        <v>0.114125+270.035714i</v>
      </c>
      <c r="FK120" s="1" t="str">
        <f t="shared" si="24"/>
        <v>10.809474+25.006477i</v>
      </c>
      <c r="FL120" s="1" t="str">
        <f t="shared" si="25"/>
        <v>9.10019+3.929148i</v>
      </c>
      <c r="FM120" s="1" t="str">
        <f t="shared" si="26"/>
        <v>9.10029+2.812044i</v>
      </c>
      <c r="FN120" s="1">
        <f t="shared" si="32"/>
        <v>23.2</v>
      </c>
      <c r="FO120" s="1">
        <f t="shared" si="33"/>
        <v>9.5248553554390529</v>
      </c>
    </row>
    <row r="121" spans="2:184" ht="18" customHeight="1" x14ac:dyDescent="0.35">
      <c r="B121" s="6"/>
      <c r="D121" s="203">
        <f>X24</f>
        <v>13</v>
      </c>
      <c r="E121" s="204"/>
      <c r="F121" s="204"/>
      <c r="G121" s="205"/>
      <c r="H121" s="100">
        <f>X68*S41</f>
        <v>27.539247605442604</v>
      </c>
      <c r="I121" s="101"/>
      <c r="J121" s="101"/>
      <c r="K121" s="101"/>
      <c r="V121" s="35" t="s">
        <v>139</v>
      </c>
      <c r="W121" s="104" t="s">
        <v>140</v>
      </c>
      <c r="X121" s="104"/>
      <c r="Y121" s="104"/>
      <c r="Z121" s="104"/>
      <c r="AA121" s="104"/>
      <c r="AB121" s="104"/>
      <c r="AC121" s="104"/>
      <c r="AD121" s="104"/>
      <c r="AE121" s="104"/>
      <c r="AF121" s="104"/>
      <c r="AG121" s="104"/>
      <c r="AH121" s="104"/>
      <c r="AI121" s="104"/>
      <c r="AJ121" s="104"/>
      <c r="AK121" s="104"/>
      <c r="AL121" s="104"/>
      <c r="AM121" s="104"/>
      <c r="AN121" s="104"/>
      <c r="AP121" s="8"/>
      <c r="AR121" s="6"/>
      <c r="AS121" s="18"/>
      <c r="AT121" s="113" t="s">
        <v>136</v>
      </c>
      <c r="AU121" s="113"/>
      <c r="AV121" s="113"/>
      <c r="AW121" s="113"/>
      <c r="AX121" s="113"/>
      <c r="AY121" s="113"/>
      <c r="AZ121" s="113"/>
      <c r="BA121" s="113"/>
      <c r="BB121" s="113"/>
      <c r="BC121" s="113"/>
      <c r="BD121" s="113"/>
      <c r="BE121" s="113"/>
      <c r="BF121" s="113"/>
      <c r="BG121" s="113"/>
      <c r="BH121" s="107">
        <f>SUM(BH119,BH114)</f>
        <v>243015.86891790052</v>
      </c>
      <c r="BI121" s="107"/>
      <c r="BJ121" s="107"/>
      <c r="BK121" s="107"/>
      <c r="BL121" s="1" t="str">
        <f>"Watts, 3-Phase or "&amp;ROUND(BH121*3.412141,0)&amp;" BTUs/Hour"</f>
        <v>Watts, 3-Phase or 829204 BTUs/Hour</v>
      </c>
      <c r="BZ121" s="56"/>
      <c r="CC121" s="56"/>
      <c r="CD121" s="56"/>
      <c r="CF121" s="8"/>
      <c r="FC121" s="1">
        <f t="shared" si="29"/>
        <v>23.4</v>
      </c>
      <c r="FD121" s="12" t="str">
        <f t="shared" si="18"/>
        <v>0.0001-1.107556i</v>
      </c>
      <c r="FE121" s="13" t="str">
        <f t="shared" si="19"/>
        <v>0.000001-0.046148i</v>
      </c>
      <c r="FF121" s="13" t="str">
        <f t="shared" si="20"/>
        <v>0.010799+25.268896i</v>
      </c>
      <c r="FG121" s="14" t="str">
        <f t="shared" si="21"/>
        <v>10.798674+0.0001i</v>
      </c>
      <c r="FI121" s="1" t="str">
        <f t="shared" si="22"/>
        <v>0.0108+25.222748i</v>
      </c>
      <c r="FJ121" s="1" t="str">
        <f t="shared" si="23"/>
        <v>0.114103+272.372234i</v>
      </c>
      <c r="FK121" s="1" t="str">
        <f t="shared" si="24"/>
        <v>10.809474+25.222848i</v>
      </c>
      <c r="FL121" s="1" t="str">
        <f t="shared" si="25"/>
        <v>9.124703+3.905948i</v>
      </c>
      <c r="FM121" s="1" t="str">
        <f t="shared" si="26"/>
        <v>9.124803+2.798392i</v>
      </c>
      <c r="FN121" s="1">
        <f t="shared" si="32"/>
        <v>23.4</v>
      </c>
      <c r="FO121" s="1">
        <f t="shared" si="33"/>
        <v>9.5442667384389992</v>
      </c>
    </row>
    <row r="122" spans="2:184" ht="18" customHeight="1" x14ac:dyDescent="0.25">
      <c r="B122" s="6"/>
      <c r="D122" s="98">
        <f>Z24</f>
        <v>17</v>
      </c>
      <c r="E122" s="99"/>
      <c r="F122" s="99"/>
      <c r="G122" s="194"/>
      <c r="H122" s="201">
        <f>X69*S41</f>
        <v>15.249788858431591</v>
      </c>
      <c r="I122" s="202"/>
      <c r="J122" s="202"/>
      <c r="K122" s="202"/>
      <c r="Q122" s="57"/>
      <c r="V122" s="35" t="s">
        <v>141</v>
      </c>
      <c r="W122" s="104" t="s">
        <v>142</v>
      </c>
      <c r="X122" s="104"/>
      <c r="Y122" s="104"/>
      <c r="AP122" s="8"/>
      <c r="AR122" s="6"/>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8"/>
      <c r="FC122" s="1">
        <f t="shared" si="29"/>
        <v>23.6</v>
      </c>
      <c r="FD122" s="12" t="str">
        <f t="shared" si="18"/>
        <v>0.0001-1.09817i</v>
      </c>
      <c r="FE122" s="13" t="str">
        <f t="shared" si="19"/>
        <v>0.000001-0.045757i</v>
      </c>
      <c r="FF122" s="13" t="str">
        <f t="shared" si="20"/>
        <v>0.010799+25.48487i</v>
      </c>
      <c r="FG122" s="14" t="str">
        <f t="shared" si="21"/>
        <v>10.798674+0.0001i</v>
      </c>
      <c r="FI122" s="1" t="str">
        <f t="shared" si="22"/>
        <v>0.0108+25.439113i</v>
      </c>
      <c r="FJ122" s="1" t="str">
        <f t="shared" si="23"/>
        <v>0.114082+274.708689i</v>
      </c>
      <c r="FK122" s="1" t="str">
        <f t="shared" si="24"/>
        <v>10.809474+25.439213i</v>
      </c>
      <c r="FL122" s="1" t="str">
        <f t="shared" si="25"/>
        <v>9.148719+3.882933i</v>
      </c>
      <c r="FM122" s="1" t="str">
        <f t="shared" si="26"/>
        <v>9.148819+2.784763i</v>
      </c>
      <c r="FN122" s="1">
        <f t="shared" si="32"/>
        <v>23.6</v>
      </c>
      <c r="FO122" s="1">
        <f t="shared" si="33"/>
        <v>9.5632522742490682</v>
      </c>
    </row>
    <row r="123" spans="2:184" ht="18" customHeight="1" x14ac:dyDescent="0.25">
      <c r="B123" s="6"/>
      <c r="D123" s="203">
        <f>AB24</f>
        <v>19</v>
      </c>
      <c r="E123" s="204"/>
      <c r="F123" s="204"/>
      <c r="G123" s="205"/>
      <c r="H123" s="100">
        <f>X70*S41</f>
        <v>7.0013792933718424</v>
      </c>
      <c r="I123" s="101"/>
      <c r="J123" s="101"/>
      <c r="K123" s="101"/>
      <c r="V123" s="35" t="s">
        <v>143</v>
      </c>
      <c r="W123" s="104" t="s">
        <v>144</v>
      </c>
      <c r="X123" s="104"/>
      <c r="Y123" s="104"/>
      <c r="AP123" s="8"/>
      <c r="AR123" s="6"/>
      <c r="CF123" s="8"/>
      <c r="FC123" s="1">
        <f t="shared" si="29"/>
        <v>23.8</v>
      </c>
      <c r="FD123" s="12" t="str">
        <f t="shared" si="18"/>
        <v>0.0001-1.088942i</v>
      </c>
      <c r="FE123" s="13" t="str">
        <f t="shared" si="19"/>
        <v>0.000001-0.045373i</v>
      </c>
      <c r="FF123" s="13" t="str">
        <f t="shared" si="20"/>
        <v>0.010799+25.700843i</v>
      </c>
      <c r="FG123" s="14" t="str">
        <f t="shared" si="21"/>
        <v>10.798674+0.0001i</v>
      </c>
      <c r="FI123" s="1" t="str">
        <f t="shared" si="22"/>
        <v>0.0108+25.65547i</v>
      </c>
      <c r="FJ123" s="1" t="str">
        <f t="shared" si="23"/>
        <v>0.11406+277.045058i</v>
      </c>
      <c r="FK123" s="1" t="str">
        <f t="shared" si="24"/>
        <v>10.809474+25.65557i</v>
      </c>
      <c r="FL123" s="1" t="str">
        <f t="shared" si="25"/>
        <v>9.172252+3.860104i</v>
      </c>
      <c r="FM123" s="1" t="str">
        <f t="shared" si="26"/>
        <v>9.172352+2.771162i</v>
      </c>
      <c r="FN123" s="1">
        <f t="shared" si="32"/>
        <v>23.8</v>
      </c>
      <c r="FO123" s="1">
        <f t="shared" si="33"/>
        <v>9.5818255067679043</v>
      </c>
    </row>
    <row r="124" spans="2:184" ht="18" customHeight="1" x14ac:dyDescent="0.3">
      <c r="B124" s="6"/>
      <c r="D124" s="98">
        <f>AD24</f>
        <v>23</v>
      </c>
      <c r="E124" s="99"/>
      <c r="F124" s="99"/>
      <c r="G124" s="194"/>
      <c r="H124" s="201">
        <f>X71*S41</f>
        <v>5.9904139484082579</v>
      </c>
      <c r="I124" s="202"/>
      <c r="J124" s="202"/>
      <c r="K124" s="202"/>
      <c r="V124" s="35" t="s">
        <v>146</v>
      </c>
      <c r="W124" s="104" t="s">
        <v>147</v>
      </c>
      <c r="X124" s="104"/>
      <c r="Y124" s="104"/>
      <c r="Z124" s="104"/>
      <c r="AA124" s="104"/>
      <c r="AB124" s="104"/>
      <c r="AC124" s="104"/>
      <c r="AD124" s="104"/>
      <c r="AE124" s="104"/>
      <c r="AP124" s="8"/>
      <c r="AR124" s="6"/>
      <c r="AS124" s="30" t="s">
        <v>145</v>
      </c>
      <c r="CF124" s="8"/>
      <c r="FC124" s="1">
        <f t="shared" si="29"/>
        <v>24</v>
      </c>
      <c r="FD124" s="12" t="str">
        <f t="shared" si="18"/>
        <v>0.0001-1.079867i</v>
      </c>
      <c r="FE124" s="13" t="str">
        <f t="shared" si="19"/>
        <v>0.000001-0.044994i</v>
      </c>
      <c r="FF124" s="13" t="str">
        <f t="shared" si="20"/>
        <v>0.010799+25.916817i</v>
      </c>
      <c r="FG124" s="14" t="str">
        <f t="shared" si="21"/>
        <v>10.798674+0.0001i</v>
      </c>
      <c r="FI124" s="1" t="str">
        <f t="shared" si="22"/>
        <v>0.0108+25.871823i</v>
      </c>
      <c r="FJ124" s="1" t="str">
        <f t="shared" si="23"/>
        <v>0.114038+279.381383i</v>
      </c>
      <c r="FK124" s="1" t="str">
        <f t="shared" si="24"/>
        <v>10.809474+25.871923i</v>
      </c>
      <c r="FL124" s="1" t="str">
        <f t="shared" si="25"/>
        <v>9.195314+3.83746i</v>
      </c>
      <c r="FM124" s="1" t="str">
        <f t="shared" si="26"/>
        <v>9.195414+2.757593i</v>
      </c>
      <c r="FN124" s="1">
        <f t="shared" si="32"/>
        <v>24</v>
      </c>
      <c r="FO124" s="1">
        <f t="shared" si="33"/>
        <v>9.5999978013041751</v>
      </c>
    </row>
    <row r="125" spans="2:184" ht="18" customHeight="1" x14ac:dyDescent="0.25">
      <c r="B125" s="6"/>
      <c r="D125" s="203">
        <f>AF24</f>
        <v>25</v>
      </c>
      <c r="E125" s="204"/>
      <c r="F125" s="204"/>
      <c r="G125" s="205"/>
      <c r="H125" s="100">
        <f>X72*S41</f>
        <v>5.5785538521217326</v>
      </c>
      <c r="I125" s="101"/>
      <c r="J125" s="101"/>
      <c r="K125" s="101"/>
      <c r="V125" s="35" t="s">
        <v>148</v>
      </c>
      <c r="W125" s="104" t="s">
        <v>149</v>
      </c>
      <c r="X125" s="104"/>
      <c r="Y125" s="104"/>
      <c r="Z125" s="104"/>
      <c r="AA125" s="104"/>
      <c r="AB125" s="104"/>
      <c r="AC125" s="104"/>
      <c r="AD125" s="104"/>
      <c r="AE125" s="104"/>
      <c r="AP125" s="8"/>
      <c r="AR125" s="6"/>
      <c r="CF125" s="8"/>
      <c r="FC125" s="1">
        <f t="shared" si="29"/>
        <v>24.2</v>
      </c>
      <c r="FD125" s="12" t="str">
        <f t="shared" si="18"/>
        <v>0.0001-1.070943i</v>
      </c>
      <c r="FE125" s="13" t="str">
        <f t="shared" si="19"/>
        <v>0.000001-0.044623i</v>
      </c>
      <c r="FF125" s="13" t="str">
        <f t="shared" si="20"/>
        <v>0.010799+26.13279i</v>
      </c>
      <c r="FG125" s="14" t="str">
        <f t="shared" si="21"/>
        <v>10.798674+0.0001i</v>
      </c>
      <c r="FI125" s="1" t="str">
        <f t="shared" si="22"/>
        <v>0.0108+26.088167i</v>
      </c>
      <c r="FJ125" s="1" t="str">
        <f t="shared" si="23"/>
        <v>0.114017+281.717612i</v>
      </c>
      <c r="FK125" s="1" t="str">
        <f t="shared" si="24"/>
        <v>10.809474+26.088267i</v>
      </c>
      <c r="FL125" s="1" t="str">
        <f t="shared" si="25"/>
        <v>9.217916+3.815002i</v>
      </c>
      <c r="FM125" s="1" t="str">
        <f t="shared" si="26"/>
        <v>9.218016+2.744059i</v>
      </c>
      <c r="FN125" s="1">
        <f t="shared" si="32"/>
        <v>24.2</v>
      </c>
      <c r="FO125" s="1">
        <f t="shared" si="33"/>
        <v>9.6177793056264829</v>
      </c>
    </row>
    <row r="126" spans="2:184" ht="18" customHeight="1" x14ac:dyDescent="0.25">
      <c r="B126" s="6"/>
      <c r="D126" s="98">
        <f>AH24</f>
        <v>29</v>
      </c>
      <c r="E126" s="99"/>
      <c r="F126" s="99"/>
      <c r="G126" s="194"/>
      <c r="H126" s="201">
        <f>X73*S41</f>
        <v>0</v>
      </c>
      <c r="I126" s="202"/>
      <c r="J126" s="202"/>
      <c r="K126" s="202"/>
      <c r="V126" s="35" t="s">
        <v>150</v>
      </c>
      <c r="W126" s="104" t="s">
        <v>151</v>
      </c>
      <c r="X126" s="104"/>
      <c r="Y126" s="104"/>
      <c r="Z126" s="104"/>
      <c r="AA126" s="104"/>
      <c r="AB126" s="104"/>
      <c r="AC126" s="104"/>
      <c r="AD126" s="104"/>
      <c r="AE126" s="104"/>
      <c r="AP126" s="8"/>
      <c r="AR126" s="6"/>
      <c r="CF126" s="8"/>
      <c r="FC126" s="1">
        <f t="shared" si="29"/>
        <v>24.4</v>
      </c>
      <c r="FD126" s="12" t="str">
        <f t="shared" si="18"/>
        <v>0.0001-1.062165i</v>
      </c>
      <c r="FE126" s="13" t="str">
        <f t="shared" si="19"/>
        <v>0.000001-0.044257i</v>
      </c>
      <c r="FF126" s="13" t="str">
        <f t="shared" si="20"/>
        <v>0.010799+26.348764i</v>
      </c>
      <c r="FG126" s="14" t="str">
        <f t="shared" si="21"/>
        <v>10.798674+0.0001i</v>
      </c>
      <c r="FI126" s="1" t="str">
        <f t="shared" si="22"/>
        <v>0.0108+26.304507i</v>
      </c>
      <c r="FJ126" s="1" t="str">
        <f t="shared" si="23"/>
        <v>0.113995+284.053797i</v>
      </c>
      <c r="FK126" s="1" t="str">
        <f t="shared" si="24"/>
        <v>10.809474+26.304607i</v>
      </c>
      <c r="FL126" s="1" t="str">
        <f t="shared" si="25"/>
        <v>9.240069+3.792731i</v>
      </c>
      <c r="FM126" s="1" t="str">
        <f t="shared" si="26"/>
        <v>9.240169+2.730566i</v>
      </c>
      <c r="FN126" s="1">
        <f t="shared" si="32"/>
        <v>24.4</v>
      </c>
      <c r="FO126" s="1">
        <f t="shared" si="33"/>
        <v>9.6351810480611633</v>
      </c>
    </row>
    <row r="127" spans="2:184" ht="18" customHeight="1" x14ac:dyDescent="0.25">
      <c r="B127" s="6"/>
      <c r="D127" s="203">
        <f>AJ24</f>
        <v>31</v>
      </c>
      <c r="E127" s="204"/>
      <c r="F127" s="204"/>
      <c r="G127" s="205"/>
      <c r="H127" s="100">
        <f>X74*S41</f>
        <v>0</v>
      </c>
      <c r="I127" s="101"/>
      <c r="J127" s="101"/>
      <c r="K127" s="101"/>
      <c r="V127" s="35" t="s">
        <v>152</v>
      </c>
      <c r="W127" s="104" t="s">
        <v>153</v>
      </c>
      <c r="X127" s="104"/>
      <c r="Y127" s="104"/>
      <c r="Z127" s="104"/>
      <c r="AA127" s="104"/>
      <c r="AB127" s="104"/>
      <c r="AC127" s="104"/>
      <c r="AD127" s="104"/>
      <c r="AE127" s="104"/>
      <c r="AP127" s="8"/>
      <c r="AR127" s="6"/>
      <c r="CF127" s="8"/>
      <c r="FC127" s="1">
        <f t="shared" si="29"/>
        <v>24.6</v>
      </c>
      <c r="FD127" s="12" t="str">
        <f t="shared" si="18"/>
        <v>0.0001-1.053529i</v>
      </c>
      <c r="FE127" s="13" t="str">
        <f t="shared" si="19"/>
        <v>0.000001-0.043897i</v>
      </c>
      <c r="FF127" s="13" t="str">
        <f t="shared" si="20"/>
        <v>0.010799+26.564737i</v>
      </c>
      <c r="FG127" s="14" t="str">
        <f t="shared" si="21"/>
        <v>10.798674+0.0001i</v>
      </c>
      <c r="FI127" s="1" t="str">
        <f t="shared" si="22"/>
        <v>0.0108+26.52084i</v>
      </c>
      <c r="FJ127" s="1" t="str">
        <f t="shared" si="23"/>
        <v>0.113974+286.389906i</v>
      </c>
      <c r="FK127" s="1" t="str">
        <f t="shared" si="24"/>
        <v>10.809474+26.52094i</v>
      </c>
      <c r="FL127" s="1" t="str">
        <f t="shared" si="25"/>
        <v>9.261784+3.770645i</v>
      </c>
      <c r="FM127" s="1" t="str">
        <f t="shared" si="26"/>
        <v>9.261884+2.717116i</v>
      </c>
      <c r="FN127" s="1">
        <f t="shared" si="32"/>
        <v>24.6</v>
      </c>
      <c r="FO127" s="1">
        <f t="shared" si="33"/>
        <v>9.652212937296401</v>
      </c>
    </row>
    <row r="128" spans="2:184" ht="18" customHeight="1" x14ac:dyDescent="0.25">
      <c r="B128" s="6"/>
      <c r="D128" s="98">
        <f>AL24</f>
        <v>35</v>
      </c>
      <c r="E128" s="99"/>
      <c r="F128" s="99"/>
      <c r="G128" s="194"/>
      <c r="H128" s="195">
        <f>X75*S41</f>
        <v>4.1239292219242687</v>
      </c>
      <c r="I128" s="127"/>
      <c r="J128" s="127"/>
      <c r="K128" s="127"/>
      <c r="AP128" s="8"/>
      <c r="AR128" s="6"/>
      <c r="CF128" s="8"/>
      <c r="FC128" s="1">
        <f t="shared" si="29"/>
        <v>24.8</v>
      </c>
      <c r="FD128" s="12" t="str">
        <f t="shared" si="18"/>
        <v>0.0001-1.045033i</v>
      </c>
      <c r="FE128" s="13" t="str">
        <f t="shared" si="19"/>
        <v>0.000001-0.043543i</v>
      </c>
      <c r="FF128" s="13" t="str">
        <f t="shared" si="20"/>
        <v>0.010799+26.780711i</v>
      </c>
      <c r="FG128" s="14" t="str">
        <f t="shared" si="21"/>
        <v>10.798674+0.0001i</v>
      </c>
      <c r="FI128" s="1" t="str">
        <f t="shared" si="22"/>
        <v>0.0108+26.737168i</v>
      </c>
      <c r="FJ128" s="1" t="str">
        <f t="shared" si="23"/>
        <v>0.113952+288.725962i</v>
      </c>
      <c r="FK128" s="1" t="str">
        <f t="shared" si="24"/>
        <v>10.809474+26.737268i</v>
      </c>
      <c r="FL128" s="1" t="str">
        <f t="shared" si="25"/>
        <v>9.283073+3.748744i</v>
      </c>
      <c r="FM128" s="1" t="str">
        <f t="shared" si="26"/>
        <v>9.283173+2.703711i</v>
      </c>
      <c r="FN128" s="1">
        <f t="shared" si="32"/>
        <v>24.8</v>
      </c>
      <c r="FO128" s="1">
        <f t="shared" si="33"/>
        <v>9.6688858778791058</v>
      </c>
    </row>
    <row r="129" spans="2:171" ht="18" customHeight="1" x14ac:dyDescent="0.25">
      <c r="B129" s="6"/>
      <c r="D129" s="196">
        <f>AN24</f>
        <v>37</v>
      </c>
      <c r="E129" s="197"/>
      <c r="F129" s="197"/>
      <c r="G129" s="197"/>
      <c r="H129" s="198">
        <f>X76*S41</f>
        <v>3.9163012749221258</v>
      </c>
      <c r="I129" s="199"/>
      <c r="J129" s="199"/>
      <c r="K129" s="199"/>
      <c r="AP129" s="8"/>
      <c r="AR129" s="6"/>
      <c r="CF129" s="8"/>
      <c r="FC129" s="1">
        <f t="shared" si="29"/>
        <v>25</v>
      </c>
      <c r="FD129" s="12" t="str">
        <f t="shared" si="18"/>
        <v>0.0001-1.036673i</v>
      </c>
      <c r="FE129" s="13" t="str">
        <f t="shared" si="19"/>
        <v>0.000001-0.043195i</v>
      </c>
      <c r="FF129" s="13" t="str">
        <f t="shared" si="20"/>
        <v>0.010799+26.996684i</v>
      </c>
      <c r="FG129" s="14" t="str">
        <f t="shared" si="21"/>
        <v>10.798674+0.0001i</v>
      </c>
      <c r="FI129" s="1" t="str">
        <f t="shared" si="22"/>
        <v>0.0108+26.953489i</v>
      </c>
      <c r="FJ129" s="1" t="str">
        <f t="shared" si="23"/>
        <v>0.11393+291.061942i</v>
      </c>
      <c r="FK129" s="1" t="str">
        <f t="shared" si="24"/>
        <v>10.809474+26.953589i</v>
      </c>
      <c r="FL129" s="1" t="str">
        <f t="shared" si="25"/>
        <v>9.303945+3.72703i</v>
      </c>
      <c r="FM129" s="1" t="str">
        <f t="shared" si="26"/>
        <v>9.304045+2.690357i</v>
      </c>
      <c r="FN129" s="1">
        <f t="shared" si="32"/>
        <v>25</v>
      </c>
      <c r="FO129" s="1">
        <f t="shared" si="33"/>
        <v>9.6852090400504007</v>
      </c>
    </row>
    <row r="130" spans="2:171" ht="18" customHeight="1" x14ac:dyDescent="0.25">
      <c r="B130" s="6"/>
      <c r="D130" s="102" t="s">
        <v>154</v>
      </c>
      <c r="E130" s="102"/>
      <c r="F130" s="102"/>
      <c r="G130" s="102"/>
      <c r="H130" s="200">
        <f>GA117</f>
        <v>454.93236940635097</v>
      </c>
      <c r="I130" s="200"/>
      <c r="J130" s="200"/>
      <c r="K130" s="200"/>
      <c r="AP130" s="8"/>
      <c r="AR130" s="6"/>
      <c r="CF130" s="8"/>
      <c r="FC130" s="1">
        <f t="shared" si="29"/>
        <v>25.2</v>
      </c>
      <c r="FD130" s="12" t="str">
        <f t="shared" si="18"/>
        <v>0.0001-1.028445i</v>
      </c>
      <c r="FE130" s="13" t="str">
        <f t="shared" si="19"/>
        <v>0.000001-0.042852i</v>
      </c>
      <c r="FF130" s="13" t="str">
        <f t="shared" si="20"/>
        <v>0.010799+27.212658i</v>
      </c>
      <c r="FG130" s="14" t="str">
        <f t="shared" si="21"/>
        <v>10.798674+0.0001i</v>
      </c>
      <c r="FI130" s="1" t="str">
        <f t="shared" si="22"/>
        <v>0.0108+27.169806i</v>
      </c>
      <c r="FJ130" s="1" t="str">
        <f t="shared" si="23"/>
        <v>0.113909+293.397879i</v>
      </c>
      <c r="FK130" s="1" t="str">
        <f t="shared" si="24"/>
        <v>10.809474+27.169906i</v>
      </c>
      <c r="FL130" s="1" t="str">
        <f t="shared" si="25"/>
        <v>9.324411+3.705499i</v>
      </c>
      <c r="FM130" s="1" t="str">
        <f t="shared" si="26"/>
        <v>9.324511+2.677054i</v>
      </c>
      <c r="FN130" s="1">
        <f t="shared" si="32"/>
        <v>25.2</v>
      </c>
      <c r="FO130" s="1">
        <f t="shared" si="33"/>
        <v>9.7011918601807388</v>
      </c>
    </row>
    <row r="131" spans="2:171" ht="18" customHeight="1" x14ac:dyDescent="0.25">
      <c r="B131" s="6"/>
      <c r="C131" s="81" t="s">
        <v>256</v>
      </c>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
      <c r="AR131" s="6"/>
      <c r="CF131" s="8"/>
      <c r="FC131" s="1">
        <f t="shared" si="29"/>
        <v>25.4</v>
      </c>
      <c r="FD131" s="12" t="str">
        <f t="shared" si="18"/>
        <v>0.0001-1.020347i</v>
      </c>
      <c r="FE131" s="13" t="str">
        <f t="shared" si="19"/>
        <v>0.000001-0.042514i</v>
      </c>
      <c r="FF131" s="13" t="str">
        <f t="shared" si="20"/>
        <v>0.010799+27.428631i</v>
      </c>
      <c r="FG131" s="14" t="str">
        <f t="shared" si="21"/>
        <v>10.798674+0.0001i</v>
      </c>
      <c r="FI131" s="1" t="str">
        <f t="shared" si="22"/>
        <v>0.0108+27.386117i</v>
      </c>
      <c r="FJ131" s="1" t="str">
        <f t="shared" si="23"/>
        <v>0.113887+295.733751i</v>
      </c>
      <c r="FK131" s="1" t="str">
        <f t="shared" si="24"/>
        <v>10.809474+27.386217i</v>
      </c>
      <c r="FL131" s="1" t="str">
        <f t="shared" si="25"/>
        <v>9.344481+3.684154i</v>
      </c>
      <c r="FM131" s="1" t="str">
        <f t="shared" si="26"/>
        <v>9.344581+2.663807i</v>
      </c>
      <c r="FN131" s="1">
        <f t="shared" si="32"/>
        <v>25.4</v>
      </c>
      <c r="FO131" s="1">
        <f t="shared" si="33"/>
        <v>9.7168442304490004</v>
      </c>
    </row>
    <row r="132" spans="2:171" ht="18" customHeight="1" x14ac:dyDescent="0.25">
      <c r="B132" s="6"/>
      <c r="C132" s="95" t="str">
        <f xml:space="preserve"> "A quantity of " &amp; ROUND(3*S29,0) &amp; ", " &amp; ROUND(AJ28,0) &amp; " kvar, " &amp; W116 &amp; " kV BIL, " &amp; S20 &amp; _xlfn._LONGTEXT(" Hertz, all-film, low-loss, double-bushing capacitors designed, manufactured, and tested to applicable IEEE/ANSI and IEC standards, supplied by Cooper, GE, or Hitachi (no others), are required for the main capacitor group. The capacitors shall be connecte","d unground-wye and shall have applicable over-voltage and blown-fuse protection.")</f>
        <v>A quantity of 15, 766 kvar, 95 kV BIL, 60 Hertz, all-film, low-loss, double-bushing capacitors designed, manufactured, and tested to applicable IEEE/ANSI and IEC standards, supplied by Cooper, GE, or Hitachi (no others), are required for the main capacitor group. The capacitors shall be connected unground-wye and shall have applicable over-voltage and blown-fuse protection.</v>
      </c>
      <c r="D132" s="95"/>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27"/>
      <c r="AR132" s="6"/>
      <c r="CF132" s="8"/>
      <c r="FC132" s="1">
        <f t="shared" si="29"/>
        <v>25.6</v>
      </c>
      <c r="FD132" s="12" t="str">
        <f t="shared" si="18"/>
        <v>0.0001-1.012376i</v>
      </c>
      <c r="FE132" s="13" t="str">
        <f t="shared" si="19"/>
        <v>0.000001-0.042182i</v>
      </c>
      <c r="FF132" s="13" t="str">
        <f t="shared" si="20"/>
        <v>0.010799+27.644604i</v>
      </c>
      <c r="FG132" s="14" t="str">
        <f t="shared" si="21"/>
        <v>10.798674+0.0001i</v>
      </c>
      <c r="FI132" s="1" t="str">
        <f t="shared" si="22"/>
        <v>0.0108+27.602422i</v>
      </c>
      <c r="FJ132" s="1" t="str">
        <f t="shared" si="23"/>
        <v>0.113865+298.069558i</v>
      </c>
      <c r="FK132" s="1" t="str">
        <f t="shared" si="24"/>
        <v>10.809474+27.602522i</v>
      </c>
      <c r="FL132" s="1" t="str">
        <f t="shared" si="25"/>
        <v>9.364164+3.662992i</v>
      </c>
      <c r="FM132" s="1" t="str">
        <f t="shared" si="26"/>
        <v>9.364264+2.650616i</v>
      </c>
      <c r="FN132" s="1">
        <f t="shared" si="32"/>
        <v>25.6</v>
      </c>
      <c r="FO132" s="1">
        <f t="shared" si="33"/>
        <v>9.7321737264165211</v>
      </c>
    </row>
    <row r="133" spans="2:171" ht="18" customHeight="1" x14ac:dyDescent="0.25">
      <c r="B133" s="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8"/>
      <c r="AR133" s="6"/>
      <c r="CF133" s="8"/>
      <c r="FC133" s="1">
        <f t="shared" si="29"/>
        <v>25.8</v>
      </c>
      <c r="FD133" s="12" t="str">
        <f t="shared" si="18"/>
        <v>0.0001-1.004528i</v>
      </c>
      <c r="FE133" s="13" t="str">
        <f t="shared" si="19"/>
        <v>0.000001-0.041855i</v>
      </c>
      <c r="FF133" s="13" t="str">
        <f t="shared" si="20"/>
        <v>0.010799+27.860578i</v>
      </c>
      <c r="FG133" s="14" t="str">
        <f t="shared" si="21"/>
        <v>10.798674+0.0001i</v>
      </c>
      <c r="FI133" s="1" t="str">
        <f t="shared" si="22"/>
        <v>0.0108+27.818723i</v>
      </c>
      <c r="FJ133" s="1" t="str">
        <f t="shared" si="23"/>
        <v>0.113844+300.405322i</v>
      </c>
      <c r="FK133" s="1" t="str">
        <f t="shared" si="24"/>
        <v>10.809474+27.818823i</v>
      </c>
      <c r="FL133" s="1" t="str">
        <f t="shared" si="25"/>
        <v>9.383469+3.642013i</v>
      </c>
      <c r="FM133" s="1" t="str">
        <f t="shared" si="26"/>
        <v>9.383569+2.637485i</v>
      </c>
      <c r="FN133" s="1">
        <f t="shared" si="32"/>
        <v>25.8</v>
      </c>
      <c r="FO133" s="1">
        <f t="shared" si="33"/>
        <v>9.7471890462320463</v>
      </c>
    </row>
    <row r="134" spans="2:171" ht="18" customHeight="1" x14ac:dyDescent="0.25">
      <c r="B134" s="6"/>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8"/>
      <c r="AR134" s="6"/>
      <c r="CF134" s="8"/>
      <c r="FC134" s="1">
        <f t="shared" si="29"/>
        <v>26</v>
      </c>
      <c r="FD134" s="12" t="str">
        <f t="shared" ref="FD134:FD197" si="35">COMPLEX(ROUND(0.0001,6),ROUND(-$AJ$30/FC134,6))</f>
        <v>0.0001-0.996801i</v>
      </c>
      <c r="FE134" s="13" t="str">
        <f t="shared" ref="FE134:FE197" si="36">COMPLEX(ROUND(0.000001,6),ROUND(-$AJ$36/FC134,6))</f>
        <v>0.000001-0.041533i</v>
      </c>
      <c r="FF134" s="13" t="str">
        <f t="shared" ref="FF134:FF197" si="37">COMPLEX(ROUND($AJ$39/$S$39,6),ROUND($AJ$39*FC134,6))</f>
        <v>0.010799+28.076551i</v>
      </c>
      <c r="FG134" s="14" t="str">
        <f t="shared" ref="FG134:FG197" si="38">COMPLEX(ROUND($AJ$45,6),ROUND(0.0001,6))</f>
        <v>10.798674+0.0001i</v>
      </c>
      <c r="FI134" s="1" t="str">
        <f t="shared" ref="FI134:FI197" si="39">COMPLEX(ROUND(IMREAL(IMSUM(FF134,FE134)),6),ROUND(IMAGINARY(IMSUM(FF134,FE134)),6))</f>
        <v>0.0108+28.035018i</v>
      </c>
      <c r="FJ134" s="1" t="str">
        <f t="shared" ref="FJ134:FJ197" si="40">COMPLEX(ROUND(IMREAL(IMPRODUCT(FI134,FG134)),6),ROUND(IMAGINARY(IMPRODUCT(FI134,FG134)),6))</f>
        <v>0.113822+302.741021i</v>
      </c>
      <c r="FK134" s="1" t="str">
        <f t="shared" ref="FK134:FK197" si="41">COMPLEX(ROUND(IMREAL(IMSUM(FG134,FI134)),6),ROUND(IMAGINARY(IMSUM(FG134,FI134)),6))</f>
        <v>10.809474+28.035118i</v>
      </c>
      <c r="FL134" s="1" t="str">
        <f t="shared" ref="FL134:FL197" si="42">COMPLEX(ROUND(IMREAL(IMDIV(FJ134,FK134)),6),ROUND(IMAGINARY(IMDIV(FJ134,FK134)),6))</f>
        <v>9.402406+3.621217i</v>
      </c>
      <c r="FM134" s="1" t="str">
        <f t="shared" ref="FM134:FM197" si="43">COMPLEX(ROUND(IMREAL(IMSUM(FL134,FD134)),6),ROUND(IMAGINARY(IMSUM(FL134,FD134)),6))</f>
        <v>9.402506+2.624416i</v>
      </c>
      <c r="FN134" s="1">
        <f t="shared" si="32"/>
        <v>26</v>
      </c>
      <c r="FO134" s="1">
        <f t="shared" si="33"/>
        <v>9.7618993244702139</v>
      </c>
    </row>
    <row r="135" spans="2:171" ht="18" customHeight="1" x14ac:dyDescent="0.25">
      <c r="B135" s="6"/>
      <c r="C135" s="96"/>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6"/>
      <c r="AM135" s="96"/>
      <c r="AN135" s="96"/>
      <c r="AO135" s="96"/>
      <c r="AP135" s="8"/>
      <c r="AR135" s="6"/>
      <c r="CF135" s="8"/>
      <c r="FC135" s="1">
        <f t="shared" ref="FC135:FC198" si="44">ROUND(FC134+0.2,1)</f>
        <v>26.2</v>
      </c>
      <c r="FD135" s="12" t="str">
        <f t="shared" si="35"/>
        <v>0.0001-0.989191i</v>
      </c>
      <c r="FE135" s="13" t="str">
        <f t="shared" si="36"/>
        <v>0.000001-0.041216i</v>
      </c>
      <c r="FF135" s="13" t="str">
        <f t="shared" si="37"/>
        <v>0.010799+28.292525i</v>
      </c>
      <c r="FG135" s="14" t="str">
        <f t="shared" si="38"/>
        <v>10.798674+0.0001i</v>
      </c>
      <c r="FI135" s="1" t="str">
        <f t="shared" si="39"/>
        <v>0.0108+28.251309i</v>
      </c>
      <c r="FJ135" s="1" t="str">
        <f t="shared" si="40"/>
        <v>0.113801+305.076677i</v>
      </c>
      <c r="FK135" s="1" t="str">
        <f t="shared" si="41"/>
        <v>10.809474+28.251409i</v>
      </c>
      <c r="FL135" s="1" t="str">
        <f t="shared" si="42"/>
        <v>9.420984+3.600602i</v>
      </c>
      <c r="FM135" s="1" t="str">
        <f t="shared" si="43"/>
        <v>9.421084+2.611411i</v>
      </c>
      <c r="FN135" s="1">
        <f t="shared" ref="FN135:FN166" si="45">FC135</f>
        <v>26.2</v>
      </c>
      <c r="FO135" s="1">
        <f t="shared" ref="FO135:FO166" si="46">IMABS(FM135)</f>
        <v>9.7763127581914535</v>
      </c>
    </row>
    <row r="136" spans="2:171" ht="18" customHeight="1" x14ac:dyDescent="0.25">
      <c r="B136" s="6"/>
      <c r="C136" s="81" t="s">
        <v>337</v>
      </c>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81"/>
      <c r="AI136" s="81"/>
      <c r="AJ136" s="81"/>
      <c r="AK136" s="81"/>
      <c r="AL136" s="81"/>
      <c r="AM136" s="81"/>
      <c r="AN136" s="81"/>
      <c r="AO136" s="81"/>
      <c r="AP136" s="8"/>
      <c r="AR136" s="6"/>
      <c r="CF136" s="8"/>
      <c r="FC136" s="1">
        <f t="shared" si="44"/>
        <v>26.4</v>
      </c>
      <c r="FD136" s="12" t="str">
        <f t="shared" si="35"/>
        <v>0.0001-0.981698i</v>
      </c>
      <c r="FE136" s="13" t="str">
        <f t="shared" si="36"/>
        <v>0.000001-0.040904i</v>
      </c>
      <c r="FF136" s="13" t="str">
        <f t="shared" si="37"/>
        <v>0.010799+28.508498i</v>
      </c>
      <c r="FG136" s="14" t="str">
        <f t="shared" si="38"/>
        <v>10.798674+0.0001i</v>
      </c>
      <c r="FI136" s="1" t="str">
        <f t="shared" si="39"/>
        <v>0.0108+28.467594i</v>
      </c>
      <c r="FJ136" s="1" t="str">
        <f t="shared" si="40"/>
        <v>0.113779+307.412268i</v>
      </c>
      <c r="FK136" s="1" t="str">
        <f t="shared" si="41"/>
        <v>10.809474+28.467694i</v>
      </c>
      <c r="FL136" s="1" t="str">
        <f t="shared" si="42"/>
        <v>9.43921+3.580168i</v>
      </c>
      <c r="FM136" s="1" t="str">
        <f t="shared" si="43"/>
        <v>9.43931+2.59847i</v>
      </c>
      <c r="FN136" s="1">
        <f t="shared" si="45"/>
        <v>26.4</v>
      </c>
      <c r="FO136" s="1">
        <f t="shared" si="46"/>
        <v>9.79043510866601</v>
      </c>
    </row>
    <row r="137" spans="2:171" ht="18" customHeight="1" x14ac:dyDescent="0.25">
      <c r="B137" s="6"/>
      <c r="C137" s="95" t="str">
        <f xml:space="preserve"> "A quantity of " &amp; ROUND(3*S35,0) &amp; ", " &amp; ROUND(AJ34,0) &amp; " kvar, " &amp; W116 &amp; " kV BIL, " &amp; S20 &amp; _xlfn._LONGTEXT(" Hertz, all-film, low-loss, double-bushing capacitors designed, manufactured, and tested to applicable IEEE/ANSI and IEC standards, supplied by Cooper, GE, or Hitachi (no others), are required for the auxiliary capacitor group. The capacitors shall be con","nected in series with the reactor.")</f>
        <v>A quantity of 18, 154 kvar, 95 kV BIL, 60 Hertz, all-film, low-loss, double-bushing capacitors designed, manufactured, and tested to applicable IEEE/ANSI and IEC standards, supplied by Cooper, GE, or Hitachi (no others), are required for the auxiliary capacitor group. The capacitors shall be connected in series with the reactor.</v>
      </c>
      <c r="D137" s="95"/>
      <c r="E137" s="95"/>
      <c r="F137" s="95"/>
      <c r="G137" s="95"/>
      <c r="H137" s="95"/>
      <c r="I137" s="95"/>
      <c r="J137" s="95"/>
      <c r="K137" s="95"/>
      <c r="L137" s="95"/>
      <c r="M137" s="95"/>
      <c r="N137" s="95"/>
      <c r="O137" s="95"/>
      <c r="P137" s="95"/>
      <c r="Q137" s="95"/>
      <c r="R137" s="95"/>
      <c r="S137" s="95"/>
      <c r="T137" s="95"/>
      <c r="U137" s="95"/>
      <c r="V137" s="95"/>
      <c r="W137" s="95"/>
      <c r="X137" s="95"/>
      <c r="Y137" s="95"/>
      <c r="Z137" s="95"/>
      <c r="AA137" s="95"/>
      <c r="AB137" s="95"/>
      <c r="AC137" s="95"/>
      <c r="AD137" s="95"/>
      <c r="AE137" s="95"/>
      <c r="AF137" s="95"/>
      <c r="AG137" s="95"/>
      <c r="AH137" s="95"/>
      <c r="AI137" s="95"/>
      <c r="AJ137" s="95"/>
      <c r="AK137" s="95"/>
      <c r="AL137" s="95"/>
      <c r="AM137" s="95"/>
      <c r="AN137" s="95"/>
      <c r="AO137" s="95"/>
      <c r="AP137" s="8"/>
      <c r="AR137" s="6"/>
      <c r="CF137" s="8"/>
      <c r="FC137" s="1">
        <f t="shared" si="44"/>
        <v>26.6</v>
      </c>
      <c r="FD137" s="12" t="str">
        <f t="shared" si="35"/>
        <v>0.0001-0.974316i</v>
      </c>
      <c r="FE137" s="13" t="str">
        <f t="shared" si="36"/>
        <v>0.000001-0.040597i</v>
      </c>
      <c r="FF137" s="13" t="str">
        <f t="shared" si="37"/>
        <v>0.010799+28.724472i</v>
      </c>
      <c r="FG137" s="14" t="str">
        <f t="shared" si="38"/>
        <v>10.798674+0.0001i</v>
      </c>
      <c r="FI137" s="1" t="str">
        <f t="shared" si="39"/>
        <v>0.0108+28.683875i</v>
      </c>
      <c r="FJ137" s="1" t="str">
        <f t="shared" si="40"/>
        <v>0.113757+309.747816i</v>
      </c>
      <c r="FK137" s="1" t="str">
        <f t="shared" si="41"/>
        <v>10.809474+28.683975i</v>
      </c>
      <c r="FL137" s="1" t="str">
        <f t="shared" si="42"/>
        <v>9.457093+3.559913i</v>
      </c>
      <c r="FM137" s="1" t="str">
        <f t="shared" si="43"/>
        <v>9.457193+2.585597i</v>
      </c>
      <c r="FN137" s="1">
        <f t="shared" si="45"/>
        <v>26.6</v>
      </c>
      <c r="FO137" s="1">
        <f t="shared" si="46"/>
        <v>9.804275153506147</v>
      </c>
    </row>
    <row r="138" spans="2:171" ht="18" customHeight="1" x14ac:dyDescent="0.25">
      <c r="B138" s="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6"/>
      <c r="AM138" s="96"/>
      <c r="AN138" s="96"/>
      <c r="AO138" s="96"/>
      <c r="AP138" s="8"/>
      <c r="AR138" s="6"/>
      <c r="CF138" s="8"/>
      <c r="FC138" s="1">
        <f t="shared" si="44"/>
        <v>26.8</v>
      </c>
      <c r="FD138" s="12" t="str">
        <f t="shared" si="35"/>
        <v>0.0001-0.967045i</v>
      </c>
      <c r="FE138" s="13" t="str">
        <f t="shared" si="36"/>
        <v>0.000001-0.040294i</v>
      </c>
      <c r="FF138" s="13" t="str">
        <f t="shared" si="37"/>
        <v>0.010799+28.940445i</v>
      </c>
      <c r="FG138" s="14" t="str">
        <f t="shared" si="38"/>
        <v>10.798674+0.0001i</v>
      </c>
      <c r="FI138" s="1" t="str">
        <f t="shared" si="39"/>
        <v>0.0108+28.900151i</v>
      </c>
      <c r="FJ138" s="1" t="str">
        <f t="shared" si="40"/>
        <v>0.113736+312.08331i</v>
      </c>
      <c r="FK138" s="1" t="str">
        <f t="shared" si="41"/>
        <v>10.809474+28.900251i</v>
      </c>
      <c r="FL138" s="1" t="str">
        <f t="shared" si="42"/>
        <v>9.474642+3.539836i</v>
      </c>
      <c r="FM138" s="1" t="str">
        <f t="shared" si="43"/>
        <v>9.474742+2.572791i</v>
      </c>
      <c r="FN138" s="1">
        <f t="shared" si="45"/>
        <v>26.8</v>
      </c>
      <c r="FO138" s="1">
        <f t="shared" si="46"/>
        <v>9.8178403682401054</v>
      </c>
    </row>
    <row r="139" spans="2:171" ht="18" customHeight="1" x14ac:dyDescent="0.25">
      <c r="B139" s="6"/>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8"/>
      <c r="AR139" s="6"/>
      <c r="CF139" s="8"/>
      <c r="FC139" s="1">
        <f t="shared" si="44"/>
        <v>27</v>
      </c>
      <c r="FD139" s="12" t="str">
        <f t="shared" si="35"/>
        <v>0.0001-0.959882i</v>
      </c>
      <c r="FE139" s="13" t="str">
        <f t="shared" si="36"/>
        <v>0.000001-0.039995i</v>
      </c>
      <c r="FF139" s="13" t="str">
        <f t="shared" si="37"/>
        <v>0.010799+29.156419i</v>
      </c>
      <c r="FG139" s="14" t="str">
        <f t="shared" si="38"/>
        <v>10.798674+0.0001i</v>
      </c>
      <c r="FI139" s="1" t="str">
        <f t="shared" si="39"/>
        <v>0.0108+29.116424i</v>
      </c>
      <c r="FJ139" s="1" t="str">
        <f t="shared" si="40"/>
        <v>0.113714+314.418772i</v>
      </c>
      <c r="FK139" s="1" t="str">
        <f t="shared" si="41"/>
        <v>10.809474+29.116524i</v>
      </c>
      <c r="FL139" s="1" t="str">
        <f t="shared" si="42"/>
        <v>9.491864+3.519938i</v>
      </c>
      <c r="FM139" s="1" t="str">
        <f t="shared" si="43"/>
        <v>9.491964+2.560056i</v>
      </c>
      <c r="FN139" s="1">
        <f t="shared" si="45"/>
        <v>27</v>
      </c>
      <c r="FO139" s="1">
        <f t="shared" si="46"/>
        <v>9.8311376401936297</v>
      </c>
    </row>
    <row r="140" spans="2:171" ht="18" customHeight="1" x14ac:dyDescent="0.25">
      <c r="B140" s="6"/>
      <c r="AP140" s="8"/>
      <c r="AR140" s="6"/>
      <c r="CF140" s="8"/>
      <c r="FC140" s="1">
        <f t="shared" si="44"/>
        <v>27.2</v>
      </c>
      <c r="FD140" s="12" t="str">
        <f t="shared" si="35"/>
        <v>0.0001-0.952824i</v>
      </c>
      <c r="FE140" s="13" t="str">
        <f t="shared" si="36"/>
        <v>0.000001-0.039701i</v>
      </c>
      <c r="FF140" s="13" t="str">
        <f t="shared" si="37"/>
        <v>0.010799+29.372392i</v>
      </c>
      <c r="FG140" s="14" t="str">
        <f t="shared" si="38"/>
        <v>10.798674+0.0001i</v>
      </c>
      <c r="FI140" s="1" t="str">
        <f t="shared" si="39"/>
        <v>0.0108+29.332691i</v>
      </c>
      <c r="FJ140" s="1" t="str">
        <f t="shared" si="40"/>
        <v>0.113692+316.754169i</v>
      </c>
      <c r="FK140" s="1" t="str">
        <f t="shared" si="41"/>
        <v>10.809474+29.332791i</v>
      </c>
      <c r="FL140" s="1" t="str">
        <f t="shared" si="42"/>
        <v>9.508767+3.500215i</v>
      </c>
      <c r="FM140" s="1" t="str">
        <f t="shared" si="43"/>
        <v>9.508867+2.547391i</v>
      </c>
      <c r="FN140" s="1">
        <f t="shared" si="45"/>
        <v>27.2</v>
      </c>
      <c r="FO140" s="1">
        <f t="shared" si="46"/>
        <v>9.8441735321239641</v>
      </c>
    </row>
    <row r="141" spans="2:171" ht="18" customHeight="1" x14ac:dyDescent="0.25">
      <c r="B141" s="6"/>
      <c r="C141" s="81" t="s">
        <v>350</v>
      </c>
      <c r="D141" s="81"/>
      <c r="E141" s="81"/>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1"/>
      <c r="AK141" s="81"/>
      <c r="AL141" s="81"/>
      <c r="AM141" s="81"/>
      <c r="AN141" s="81"/>
      <c r="AO141" s="81"/>
      <c r="AP141" s="8"/>
      <c r="AR141" s="6"/>
      <c r="CF141" s="8"/>
      <c r="FC141" s="1">
        <f t="shared" si="44"/>
        <v>27.4</v>
      </c>
      <c r="FD141" s="12" t="str">
        <f t="shared" si="35"/>
        <v>0.0001-0.945869i</v>
      </c>
      <c r="FE141" s="13" t="str">
        <f t="shared" si="36"/>
        <v>0.000001-0.039411i</v>
      </c>
      <c r="FF141" s="13" t="str">
        <f t="shared" si="37"/>
        <v>0.010799+29.588366i</v>
      </c>
      <c r="FG141" s="14" t="str">
        <f t="shared" si="38"/>
        <v>10.798674+0.0001i</v>
      </c>
      <c r="FI141" s="1" t="str">
        <f t="shared" si="39"/>
        <v>0.0108+29.548955i</v>
      </c>
      <c r="FJ141" s="1" t="str">
        <f t="shared" si="40"/>
        <v>0.113671+319.089533i</v>
      </c>
      <c r="FK141" s="1" t="str">
        <f t="shared" si="41"/>
        <v>10.809474+29.549055i</v>
      </c>
      <c r="FL141" s="1" t="str">
        <f t="shared" si="42"/>
        <v>9.525359+3.480668i</v>
      </c>
      <c r="FM141" s="1" t="str">
        <f t="shared" si="43"/>
        <v>9.525459+2.534799i</v>
      </c>
      <c r="FN141" s="1">
        <f t="shared" si="45"/>
        <v>27.4</v>
      </c>
      <c r="FO141" s="1">
        <f t="shared" si="46"/>
        <v>9.8569556725736565</v>
      </c>
    </row>
    <row r="142" spans="2:171" ht="18" customHeight="1" x14ac:dyDescent="0.25">
      <c r="B142" s="6"/>
      <c r="C142" s="95" t="str">
        <f>"A quantity of 3 stainless steel grid resistors shall be provided. Each resistor shall have an ohmic value per phase of "&amp;ROUND(AJ45,2)&amp;" ohms, a continuous power rating of "&amp;ROUND(AJ46,2)&amp;" kW, and an RMS current rating of "&amp;ROUND(AD77,2)&amp;" amps. The resistor element shall be divided into "&amp;ROUNDUP(S17/(1.73*5),0)&amp;" series groups to ensure adequate withstand voltage during switching transients, with the overall BIL rating coordinated to "&amp;W116&amp;" kV. "</f>
        <v xml:space="preserve">A quantity of 3 stainless steel grid resistors shall be provided. Each resistor shall have an ohmic value per phase of 10.8 ohms, a continuous power rating of 77.42 kW, and an RMS current rating of 84.67 amps. The resistor element shall be divided into 2 series groups to ensure adequate withstand voltage during switching transients, with the overall BIL rating coordinated to 95 kV. </v>
      </c>
      <c r="D142" s="95"/>
      <c r="E142" s="95"/>
      <c r="F142" s="95"/>
      <c r="G142" s="95"/>
      <c r="H142" s="95"/>
      <c r="I142" s="95"/>
      <c r="J142" s="95"/>
      <c r="K142" s="95"/>
      <c r="L142" s="95"/>
      <c r="M142" s="95"/>
      <c r="N142" s="95"/>
      <c r="O142" s="95"/>
      <c r="P142" s="95"/>
      <c r="Q142" s="95"/>
      <c r="R142" s="95"/>
      <c r="S142" s="95"/>
      <c r="T142" s="95"/>
      <c r="U142" s="95"/>
      <c r="V142" s="95"/>
      <c r="W142" s="95"/>
      <c r="X142" s="95"/>
      <c r="Y142" s="95"/>
      <c r="Z142" s="95"/>
      <c r="AA142" s="95"/>
      <c r="AB142" s="95"/>
      <c r="AC142" s="95"/>
      <c r="AD142" s="95"/>
      <c r="AE142" s="95"/>
      <c r="AF142" s="95"/>
      <c r="AG142" s="95"/>
      <c r="AH142" s="95"/>
      <c r="AI142" s="95"/>
      <c r="AJ142" s="95"/>
      <c r="AK142" s="95"/>
      <c r="AL142" s="95"/>
      <c r="AM142" s="95"/>
      <c r="AN142" s="95"/>
      <c r="AO142" s="95"/>
      <c r="AP142" s="8"/>
      <c r="AR142" s="6"/>
      <c r="CF142" s="8"/>
      <c r="FC142" s="1">
        <f t="shared" si="44"/>
        <v>27.6</v>
      </c>
      <c r="FD142" s="12" t="str">
        <f t="shared" si="35"/>
        <v>0.0001-0.939015i</v>
      </c>
      <c r="FE142" s="13" t="str">
        <f t="shared" si="36"/>
        <v>0.000001-0.039126i</v>
      </c>
      <c r="FF142" s="13" t="str">
        <f t="shared" si="37"/>
        <v>0.010799+29.804339i</v>
      </c>
      <c r="FG142" s="14" t="str">
        <f t="shared" si="38"/>
        <v>10.798674+0.0001i</v>
      </c>
      <c r="FI142" s="1" t="str">
        <f t="shared" si="39"/>
        <v>0.0108+29.765213i</v>
      </c>
      <c r="FJ142" s="1" t="str">
        <f t="shared" si="40"/>
        <v>0.113649+321.424833i</v>
      </c>
      <c r="FK142" s="1" t="str">
        <f t="shared" si="41"/>
        <v>10.809474+29.765313i</v>
      </c>
      <c r="FL142" s="1" t="str">
        <f t="shared" si="42"/>
        <v>9.541645+3.461295i</v>
      </c>
      <c r="FM142" s="1" t="str">
        <f t="shared" si="43"/>
        <v>9.541745+2.52228i</v>
      </c>
      <c r="FN142" s="1">
        <f t="shared" si="45"/>
        <v>27.6</v>
      </c>
      <c r="FO142" s="1">
        <f t="shared" si="46"/>
        <v>9.8694880335012822</v>
      </c>
    </row>
    <row r="143" spans="2:171" ht="18" customHeight="1" x14ac:dyDescent="0.25">
      <c r="B143" s="6"/>
      <c r="C143" s="96"/>
      <c r="D143" s="96"/>
      <c r="E143" s="96"/>
      <c r="F143" s="96"/>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6"/>
      <c r="AL143" s="96"/>
      <c r="AM143" s="96"/>
      <c r="AN143" s="96"/>
      <c r="AO143" s="96"/>
      <c r="AP143" s="8"/>
      <c r="AR143" s="6"/>
      <c r="CF143" s="8"/>
      <c r="FC143" s="1">
        <f t="shared" si="44"/>
        <v>27.8</v>
      </c>
      <c r="FD143" s="12" t="str">
        <f t="shared" si="35"/>
        <v>0.0001-0.93226i</v>
      </c>
      <c r="FE143" s="13" t="str">
        <f t="shared" si="36"/>
        <v>0.000001-0.038844i</v>
      </c>
      <c r="FF143" s="13" t="str">
        <f t="shared" si="37"/>
        <v>0.010799+30.020313i</v>
      </c>
      <c r="FG143" s="14" t="str">
        <f t="shared" si="38"/>
        <v>10.798674+0.0001i</v>
      </c>
      <c r="FI143" s="1" t="str">
        <f t="shared" si="39"/>
        <v>0.0108+29.981469i</v>
      </c>
      <c r="FJ143" s="1" t="str">
        <f t="shared" si="40"/>
        <v>0.113628+323.760111i</v>
      </c>
      <c r="FK143" s="1" t="str">
        <f t="shared" si="41"/>
        <v>10.809474+29.981569i</v>
      </c>
      <c r="FL143" s="1" t="str">
        <f t="shared" si="42"/>
        <v>9.557635+3.442094i</v>
      </c>
      <c r="FM143" s="1" t="str">
        <f t="shared" si="43"/>
        <v>9.557735+2.509834i</v>
      </c>
      <c r="FN143" s="1">
        <f t="shared" si="45"/>
        <v>27.8</v>
      </c>
      <c r="FO143" s="1">
        <f t="shared" si="46"/>
        <v>9.881779446930647</v>
      </c>
    </row>
    <row r="144" spans="2:171" ht="18" customHeight="1" x14ac:dyDescent="0.25">
      <c r="B144" s="6"/>
      <c r="C144" s="96"/>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8"/>
      <c r="AR144" s="6"/>
      <c r="CF144" s="8"/>
      <c r="FC144" s="1">
        <f t="shared" si="44"/>
        <v>28</v>
      </c>
      <c r="FD144" s="12" t="str">
        <f t="shared" si="35"/>
        <v>0.0001-0.925601i</v>
      </c>
      <c r="FE144" s="13" t="str">
        <f t="shared" si="36"/>
        <v>0.000001-0.038567i</v>
      </c>
      <c r="FF144" s="13" t="str">
        <f t="shared" si="37"/>
        <v>0.010799+30.236286i</v>
      </c>
      <c r="FG144" s="14" t="str">
        <f t="shared" si="38"/>
        <v>10.798674+0.0001i</v>
      </c>
      <c r="FI144" s="1" t="str">
        <f t="shared" si="39"/>
        <v>0.0108+30.197719i</v>
      </c>
      <c r="FJ144" s="1" t="str">
        <f t="shared" si="40"/>
        <v>0.113606+326.095324i</v>
      </c>
      <c r="FK144" s="1" t="str">
        <f t="shared" si="41"/>
        <v>10.809474+30.197819i</v>
      </c>
      <c r="FL144" s="1" t="str">
        <f t="shared" si="42"/>
        <v>9.573334+3.423065i</v>
      </c>
      <c r="FM144" s="1" t="str">
        <f t="shared" si="43"/>
        <v>9.573434+2.497464i</v>
      </c>
      <c r="FN144" s="1">
        <f t="shared" si="45"/>
        <v>28</v>
      </c>
      <c r="FO144" s="1">
        <f t="shared" si="46"/>
        <v>9.8938346955895717</v>
      </c>
    </row>
    <row r="145" spans="2:171" ht="18" customHeight="1" thickBot="1" x14ac:dyDescent="0.3">
      <c r="B145" s="6"/>
      <c r="C145" s="193"/>
      <c r="D145" s="193"/>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3"/>
      <c r="AP145" s="8"/>
      <c r="AR145" s="6"/>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1"/>
      <c r="CE145" s="10"/>
      <c r="CF145" s="8"/>
      <c r="FC145" s="1">
        <f t="shared" si="44"/>
        <v>28.2</v>
      </c>
      <c r="FD145" s="12" t="str">
        <f t="shared" si="35"/>
        <v>0.0001-0.919036i</v>
      </c>
      <c r="FE145" s="13" t="str">
        <f t="shared" si="36"/>
        <v>0.000001-0.038293i</v>
      </c>
      <c r="FF145" s="13" t="str">
        <f t="shared" si="37"/>
        <v>0.010799+30.45226i</v>
      </c>
      <c r="FG145" s="14" t="str">
        <f t="shared" si="38"/>
        <v>10.798674+0.0001i</v>
      </c>
      <c r="FI145" s="1" t="str">
        <f t="shared" si="39"/>
        <v>0.0108+30.413967i</v>
      </c>
      <c r="FJ145" s="1" t="str">
        <f t="shared" si="40"/>
        <v>0.113584+328.430516i</v>
      </c>
      <c r="FK145" s="1" t="str">
        <f t="shared" si="41"/>
        <v>10.809474+30.414067i</v>
      </c>
      <c r="FL145" s="1" t="str">
        <f t="shared" si="42"/>
        <v>9.588749+3.404206i</v>
      </c>
      <c r="FM145" s="1" t="str">
        <f t="shared" si="43"/>
        <v>9.588849+2.48517i</v>
      </c>
      <c r="FN145" s="1">
        <f t="shared" si="45"/>
        <v>28.2</v>
      </c>
      <c r="FO145" s="1">
        <f t="shared" si="46"/>
        <v>9.9056597495422292</v>
      </c>
    </row>
    <row r="146" spans="2:171" ht="18" customHeight="1" x14ac:dyDescent="0.25">
      <c r="B146" s="6"/>
      <c r="D146" s="44" t="s">
        <v>94</v>
      </c>
      <c r="AO146" s="29" t="s">
        <v>158</v>
      </c>
      <c r="AP146" s="8"/>
      <c r="AR146" s="6"/>
      <c r="AT146" s="44" t="s">
        <v>94</v>
      </c>
      <c r="CE146" s="29" t="s">
        <v>159</v>
      </c>
      <c r="CF146" s="8"/>
      <c r="FC146" s="1">
        <f t="shared" si="44"/>
        <v>28.4</v>
      </c>
      <c r="FD146" s="12" t="str">
        <f t="shared" si="35"/>
        <v>0.0001-0.912564i</v>
      </c>
      <c r="FE146" s="13" t="str">
        <f t="shared" si="36"/>
        <v>0.000001-0.038023i</v>
      </c>
      <c r="FF146" s="13" t="str">
        <f t="shared" si="37"/>
        <v>0.010799+30.668233i</v>
      </c>
      <c r="FG146" s="14" t="str">
        <f t="shared" si="38"/>
        <v>10.798674+0.0001i</v>
      </c>
      <c r="FI146" s="1" t="str">
        <f t="shared" si="39"/>
        <v>0.0108+30.63021i</v>
      </c>
      <c r="FJ146" s="1" t="str">
        <f t="shared" si="40"/>
        <v>0.113563+330.765653i</v>
      </c>
      <c r="FK146" s="1" t="str">
        <f t="shared" si="41"/>
        <v>10.809474+30.63031i</v>
      </c>
      <c r="FL146" s="1" t="str">
        <f t="shared" si="42"/>
        <v>9.603886+3.385516i</v>
      </c>
      <c r="FM146" s="1" t="str">
        <f t="shared" si="43"/>
        <v>9.603986+2.472952i</v>
      </c>
      <c r="FN146" s="1">
        <f t="shared" si="45"/>
        <v>28.4</v>
      </c>
      <c r="FO146" s="1">
        <f t="shared" si="46"/>
        <v>9.9172596357310319</v>
      </c>
    </row>
    <row r="147" spans="2:171" ht="18" customHeight="1" x14ac:dyDescent="0.25">
      <c r="B147" s="46"/>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8"/>
      <c r="AR147" s="46"/>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8"/>
      <c r="FC147" s="1">
        <f t="shared" si="44"/>
        <v>28.6</v>
      </c>
      <c r="FD147" s="12" t="str">
        <f t="shared" si="35"/>
        <v>0.0001-0.906182i</v>
      </c>
      <c r="FE147" s="13" t="str">
        <f t="shared" si="36"/>
        <v>0.000001-0.037758i</v>
      </c>
      <c r="FF147" s="13" t="str">
        <f t="shared" si="37"/>
        <v>0.010799+30.884207i</v>
      </c>
      <c r="FG147" s="14" t="str">
        <f t="shared" si="38"/>
        <v>10.798674+0.0001i</v>
      </c>
      <c r="FI147" s="1" t="str">
        <f t="shared" si="39"/>
        <v>0.0108+30.846449i</v>
      </c>
      <c r="FJ147" s="1" t="str">
        <f t="shared" si="40"/>
        <v>0.113541+333.100748i</v>
      </c>
      <c r="FK147" s="1" t="str">
        <f t="shared" si="41"/>
        <v>10.809474+30.846549i</v>
      </c>
      <c r="FL147" s="1" t="str">
        <f t="shared" si="42"/>
        <v>9.618753+3.366993i</v>
      </c>
      <c r="FM147" s="1" t="str">
        <f t="shared" si="43"/>
        <v>9.618853+2.460811i</v>
      </c>
      <c r="FN147" s="1">
        <f t="shared" si="45"/>
        <v>28.6</v>
      </c>
      <c r="FO147" s="1">
        <f t="shared" si="46"/>
        <v>9.9286415895292546</v>
      </c>
    </row>
    <row r="148" spans="2:171" ht="18" customHeight="1" x14ac:dyDescent="0.25">
      <c r="FC148" s="1">
        <f t="shared" si="44"/>
        <v>28.8</v>
      </c>
      <c r="FD148" s="12" t="str">
        <f t="shared" si="35"/>
        <v>0.0001-0.899889i</v>
      </c>
      <c r="FE148" s="13" t="str">
        <f t="shared" si="36"/>
        <v>0.000001-0.037495i</v>
      </c>
      <c r="FF148" s="13" t="str">
        <f t="shared" si="37"/>
        <v>0.010799+31.10018i</v>
      </c>
      <c r="FG148" s="14" t="str">
        <f t="shared" si="38"/>
        <v>10.798674+0.0001i</v>
      </c>
      <c r="FI148" s="1" t="str">
        <f t="shared" si="39"/>
        <v>0.0108+31.062685i</v>
      </c>
      <c r="FJ148" s="1" t="str">
        <f t="shared" si="40"/>
        <v>0.113519+335.43581i</v>
      </c>
      <c r="FK148" s="1" t="str">
        <f t="shared" si="41"/>
        <v>10.809474+31.062785i</v>
      </c>
      <c r="FL148" s="1" t="str">
        <f t="shared" si="42"/>
        <v>9.633354+3.348636i</v>
      </c>
      <c r="FM148" s="1" t="str">
        <f t="shared" si="43"/>
        <v>9.633454+2.448747i</v>
      </c>
      <c r="FN148" s="1">
        <f t="shared" si="45"/>
        <v>28.8</v>
      </c>
      <c r="FO148" s="1">
        <f t="shared" si="46"/>
        <v>9.9398087426330797</v>
      </c>
    </row>
    <row r="149" spans="2:171" ht="18" customHeight="1" x14ac:dyDescent="0.25">
      <c r="B149" s="3"/>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5"/>
      <c r="AR149" s="3"/>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5"/>
      <c r="FC149" s="1">
        <f t="shared" si="44"/>
        <v>29</v>
      </c>
      <c r="FD149" s="12" t="str">
        <f t="shared" si="35"/>
        <v>0.0001-0.893683i</v>
      </c>
      <c r="FE149" s="13" t="str">
        <f t="shared" si="36"/>
        <v>0.000001-0.037237i</v>
      </c>
      <c r="FF149" s="13" t="str">
        <f t="shared" si="37"/>
        <v>0.010799+31.316153i</v>
      </c>
      <c r="FG149" s="14" t="str">
        <f t="shared" si="38"/>
        <v>10.798674+0.0001i</v>
      </c>
      <c r="FI149" s="1" t="str">
        <f t="shared" si="39"/>
        <v>0.0108+31.278916i</v>
      </c>
      <c r="FJ149" s="1" t="str">
        <f t="shared" si="40"/>
        <v>0.113498+337.770818i</v>
      </c>
      <c r="FK149" s="1" t="str">
        <f t="shared" si="41"/>
        <v>10.809474+31.279016i</v>
      </c>
      <c r="FL149" s="1" t="str">
        <f t="shared" si="42"/>
        <v>9.647697+3.330445i</v>
      </c>
      <c r="FM149" s="1" t="str">
        <f t="shared" si="43"/>
        <v>9.647797+2.436762i</v>
      </c>
      <c r="FN149" s="1">
        <f t="shared" si="45"/>
        <v>29</v>
      </c>
      <c r="FO149" s="1">
        <f t="shared" si="46"/>
        <v>9.9507686134214275</v>
      </c>
    </row>
    <row r="150" spans="2:171" ht="18" customHeight="1" x14ac:dyDescent="0.25">
      <c r="B150" s="6"/>
      <c r="AN150" s="7"/>
      <c r="AP150" s="8"/>
      <c r="AR150" s="6"/>
      <c r="CD150" s="7"/>
      <c r="CF150" s="8"/>
      <c r="FC150" s="1">
        <f t="shared" si="44"/>
        <v>29.2</v>
      </c>
      <c r="FD150" s="12" t="str">
        <f t="shared" si="35"/>
        <v>0.0001-0.887562i</v>
      </c>
      <c r="FE150" s="13" t="str">
        <f t="shared" si="36"/>
        <v>0.000001-0.036982i</v>
      </c>
      <c r="FF150" s="13" t="str">
        <f t="shared" si="37"/>
        <v>0.010799+31.532127i</v>
      </c>
      <c r="FG150" s="14" t="str">
        <f t="shared" si="38"/>
        <v>10.798674+0.0001i</v>
      </c>
      <c r="FI150" s="1" t="str">
        <f t="shared" si="39"/>
        <v>0.0108+31.495145i</v>
      </c>
      <c r="FJ150" s="1" t="str">
        <f t="shared" si="40"/>
        <v>0.113476+340.105805i</v>
      </c>
      <c r="FK150" s="1" t="str">
        <f t="shared" si="41"/>
        <v>10.809474+31.495245i</v>
      </c>
      <c r="FL150" s="1" t="str">
        <f t="shared" si="42"/>
        <v>9.661786+3.312416i</v>
      </c>
      <c r="FM150" s="1" t="str">
        <f t="shared" si="43"/>
        <v>9.661886+2.424854i</v>
      </c>
      <c r="FN150" s="1">
        <f t="shared" si="45"/>
        <v>29.2</v>
      </c>
      <c r="FO150" s="1">
        <f t="shared" si="46"/>
        <v>9.9615238793224794</v>
      </c>
    </row>
    <row r="151" spans="2:171" ht="18" customHeight="1" x14ac:dyDescent="0.25">
      <c r="B151" s="6"/>
      <c r="AN151" s="9"/>
      <c r="AP151" s="8"/>
      <c r="AR151" s="6"/>
      <c r="CD151" s="9"/>
      <c r="CF151" s="8"/>
      <c r="FC151" s="1">
        <f t="shared" si="44"/>
        <v>29.4</v>
      </c>
      <c r="FD151" s="12" t="str">
        <f t="shared" si="35"/>
        <v>0.0001-0.881524i</v>
      </c>
      <c r="FE151" s="13" t="str">
        <f t="shared" si="36"/>
        <v>0.000001-0.03673i</v>
      </c>
      <c r="FF151" s="13" t="str">
        <f t="shared" si="37"/>
        <v>0.010799+31.7481i</v>
      </c>
      <c r="FG151" s="14" t="str">
        <f t="shared" si="38"/>
        <v>10.798674+0.0001i</v>
      </c>
      <c r="FI151" s="1" t="str">
        <f t="shared" si="39"/>
        <v>0.0108+31.71137i</v>
      </c>
      <c r="FJ151" s="1" t="str">
        <f t="shared" si="40"/>
        <v>0.113455+342.440748i</v>
      </c>
      <c r="FK151" s="1" t="str">
        <f t="shared" si="41"/>
        <v>10.809474+31.71147i</v>
      </c>
      <c r="FL151" s="1" t="str">
        <f t="shared" si="42"/>
        <v>9.675629+3.294549i</v>
      </c>
      <c r="FM151" s="1" t="str">
        <f t="shared" si="43"/>
        <v>9.675729+2.413025i</v>
      </c>
      <c r="FN151" s="1">
        <f t="shared" si="45"/>
        <v>29.4</v>
      </c>
      <c r="FO151" s="1">
        <f t="shared" si="46"/>
        <v>9.972082096135491</v>
      </c>
    </row>
    <row r="152" spans="2:171" ht="18" customHeight="1" thickBot="1" x14ac:dyDescent="0.3">
      <c r="B152" s="6"/>
      <c r="C152" s="10" t="str">
        <f>H12 &amp; " | " &amp; AE13</f>
        <v>Enter Customer PO #  | Stage 1</v>
      </c>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1"/>
      <c r="AO152" s="10"/>
      <c r="AP152" s="8"/>
      <c r="AR152" s="6"/>
      <c r="AS152" s="10" t="str">
        <f>H12 &amp; " | " &amp; AE13</f>
        <v>Enter Customer PO #  | Stage 1</v>
      </c>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1"/>
      <c r="CE152" s="10"/>
      <c r="CF152" s="8"/>
      <c r="FC152" s="1">
        <f t="shared" si="44"/>
        <v>29.6</v>
      </c>
      <c r="FD152" s="12" t="str">
        <f t="shared" si="35"/>
        <v>0.0001-0.875568i</v>
      </c>
      <c r="FE152" s="13" t="str">
        <f t="shared" si="36"/>
        <v>0.000001-0.036482i</v>
      </c>
      <c r="FF152" s="13" t="str">
        <f t="shared" si="37"/>
        <v>0.010799+31.964074i</v>
      </c>
      <c r="FG152" s="14" t="str">
        <f t="shared" si="38"/>
        <v>10.798674+0.0001i</v>
      </c>
      <c r="FI152" s="1" t="str">
        <f t="shared" si="39"/>
        <v>0.0108+31.927592i</v>
      </c>
      <c r="FJ152" s="1" t="str">
        <f t="shared" si="40"/>
        <v>0.113433+344.775659i</v>
      </c>
      <c r="FK152" s="1" t="str">
        <f t="shared" si="41"/>
        <v>10.809474+31.927692i</v>
      </c>
      <c r="FL152" s="1" t="str">
        <f t="shared" si="42"/>
        <v>9.689229+3.276843i</v>
      </c>
      <c r="FM152" s="1" t="str">
        <f t="shared" si="43"/>
        <v>9.689329+2.401275i</v>
      </c>
      <c r="FN152" s="1">
        <f t="shared" si="45"/>
        <v>29.6</v>
      </c>
      <c r="FO152" s="1">
        <f t="shared" si="46"/>
        <v>9.9824454967641074</v>
      </c>
    </row>
    <row r="153" spans="2:171" ht="18" customHeight="1" x14ac:dyDescent="0.25">
      <c r="B153" s="6"/>
      <c r="AN153" s="9"/>
      <c r="AP153" s="8"/>
      <c r="AR153" s="6"/>
      <c r="CD153" s="9"/>
      <c r="CF153" s="8"/>
      <c r="FC153" s="1">
        <f t="shared" si="44"/>
        <v>29.8</v>
      </c>
      <c r="FD153" s="12" t="str">
        <f t="shared" si="35"/>
        <v>0.0001-0.869692i</v>
      </c>
      <c r="FE153" s="13" t="str">
        <f t="shared" si="36"/>
        <v>0.000001-0.036237i</v>
      </c>
      <c r="FF153" s="13" t="str">
        <f t="shared" si="37"/>
        <v>0.010799+32.180047i</v>
      </c>
      <c r="FG153" s="14" t="str">
        <f t="shared" si="38"/>
        <v>10.798674+0.0001i</v>
      </c>
      <c r="FI153" s="1" t="str">
        <f t="shared" si="39"/>
        <v>0.0108+32.14381i</v>
      </c>
      <c r="FJ153" s="1" t="str">
        <f t="shared" si="40"/>
        <v>0.113411+347.110526i</v>
      </c>
      <c r="FK153" s="1" t="str">
        <f t="shared" si="41"/>
        <v>10.809474+32.14391i</v>
      </c>
      <c r="FL153" s="1" t="str">
        <f t="shared" si="42"/>
        <v>9.702592+3.259296i</v>
      </c>
      <c r="FM153" s="1" t="str">
        <f t="shared" si="43"/>
        <v>9.702692+2.389604i</v>
      </c>
      <c r="FN153" s="1">
        <f t="shared" si="45"/>
        <v>29.8</v>
      </c>
      <c r="FO153" s="1">
        <f t="shared" si="46"/>
        <v>9.9926192424048672</v>
      </c>
    </row>
    <row r="154" spans="2:171" ht="18" customHeight="1" x14ac:dyDescent="0.3">
      <c r="B154" s="6"/>
      <c r="AO154" s="17"/>
      <c r="AP154" s="8"/>
      <c r="AR154" s="6"/>
      <c r="AS154" s="97" t="s">
        <v>160</v>
      </c>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8"/>
      <c r="FC154" s="1">
        <f t="shared" si="44"/>
        <v>30</v>
      </c>
      <c r="FD154" s="12" t="str">
        <f t="shared" si="35"/>
        <v>0.0001-0.863894i</v>
      </c>
      <c r="FE154" s="13" t="str">
        <f t="shared" si="36"/>
        <v>0.000001-0.035996i</v>
      </c>
      <c r="FF154" s="13" t="str">
        <f t="shared" si="37"/>
        <v>0.010799+32.396021i</v>
      </c>
      <c r="FG154" s="14" t="str">
        <f t="shared" si="38"/>
        <v>10.798674+0.0001i</v>
      </c>
      <c r="FI154" s="1" t="str">
        <f t="shared" si="39"/>
        <v>0.0108+32.360025i</v>
      </c>
      <c r="FJ154" s="1" t="str">
        <f t="shared" si="40"/>
        <v>0.11339+349.445362i</v>
      </c>
      <c r="FK154" s="1" t="str">
        <f t="shared" si="41"/>
        <v>10.809474+32.360125i</v>
      </c>
      <c r="FL154" s="1" t="str">
        <f t="shared" si="42"/>
        <v>9.715725+3.241906i</v>
      </c>
      <c r="FM154" s="1" t="str">
        <f t="shared" si="43"/>
        <v>9.715825+2.378012i</v>
      </c>
      <c r="FN154" s="1">
        <f t="shared" si="45"/>
        <v>30</v>
      </c>
      <c r="FO154" s="1">
        <f t="shared" si="46"/>
        <v>10.002609484667939</v>
      </c>
    </row>
    <row r="155" spans="2:171" ht="18" customHeight="1" x14ac:dyDescent="0.25">
      <c r="B155" s="6"/>
      <c r="AP155" s="8"/>
      <c r="AR155" s="6"/>
      <c r="AU155" s="89" t="s">
        <v>161</v>
      </c>
      <c r="AV155" s="89"/>
      <c r="AW155" s="89"/>
      <c r="AX155" s="89"/>
      <c r="AY155" s="89"/>
      <c r="AZ155" s="89"/>
      <c r="BA155" s="89"/>
      <c r="BB155" s="24" t="s">
        <v>162</v>
      </c>
      <c r="CF155" s="8"/>
      <c r="FC155" s="1">
        <f t="shared" si="44"/>
        <v>30.2</v>
      </c>
      <c r="FD155" s="12" t="str">
        <f t="shared" si="35"/>
        <v>0.0001-0.858173i</v>
      </c>
      <c r="FE155" s="13" t="str">
        <f t="shared" si="36"/>
        <v>0.000001-0.035757i</v>
      </c>
      <c r="FF155" s="13" t="str">
        <f t="shared" si="37"/>
        <v>0.010799+32.611994i</v>
      </c>
      <c r="FG155" s="14" t="str">
        <f t="shared" si="38"/>
        <v>10.798674+0.0001i</v>
      </c>
      <c r="FI155" s="1" t="str">
        <f t="shared" si="39"/>
        <v>0.0108+32.576237i</v>
      </c>
      <c r="FJ155" s="1" t="str">
        <f t="shared" si="40"/>
        <v>0.113368+351.780165i</v>
      </c>
      <c r="FK155" s="1" t="str">
        <f t="shared" si="41"/>
        <v>10.809474+32.576337i</v>
      </c>
      <c r="FL155" s="1" t="str">
        <f t="shared" si="42"/>
        <v>9.728631+3.224672i</v>
      </c>
      <c r="FM155" s="1" t="str">
        <f t="shared" si="43"/>
        <v>9.728731+2.366499i</v>
      </c>
      <c r="FN155" s="1">
        <f t="shared" si="45"/>
        <v>30.2</v>
      </c>
      <c r="FO155" s="1">
        <f t="shared" si="46"/>
        <v>10.012418508400554</v>
      </c>
    </row>
    <row r="156" spans="2:171" ht="18" customHeight="1" x14ac:dyDescent="0.25">
      <c r="B156" s="6"/>
      <c r="AP156" s="8"/>
      <c r="AR156" s="6"/>
      <c r="AT156" s="24"/>
      <c r="AU156" s="89" t="s">
        <v>163</v>
      </c>
      <c r="AV156" s="89"/>
      <c r="AW156" s="89"/>
      <c r="AX156" s="89"/>
      <c r="AY156" s="89"/>
      <c r="AZ156" s="89"/>
      <c r="BA156" s="89"/>
      <c r="BB156" s="24" t="s">
        <v>164</v>
      </c>
      <c r="CF156" s="8"/>
      <c r="FC156" s="1">
        <f t="shared" si="44"/>
        <v>30.4</v>
      </c>
      <c r="FD156" s="12" t="str">
        <f t="shared" si="35"/>
        <v>0.0001-0.852527i</v>
      </c>
      <c r="FE156" s="13" t="str">
        <f t="shared" si="36"/>
        <v>0.000001-0.035522i</v>
      </c>
      <c r="FF156" s="13" t="str">
        <f t="shared" si="37"/>
        <v>0.010799+32.827968i</v>
      </c>
      <c r="FG156" s="14" t="str">
        <f t="shared" si="38"/>
        <v>10.798674+0.0001i</v>
      </c>
      <c r="FI156" s="1" t="str">
        <f t="shared" si="39"/>
        <v>0.0108+32.792446i</v>
      </c>
      <c r="FJ156" s="1" t="str">
        <f t="shared" si="40"/>
        <v>0.113346+354.114935i</v>
      </c>
      <c r="FK156" s="1" t="str">
        <f t="shared" si="41"/>
        <v>10.809474+32.792546i</v>
      </c>
      <c r="FL156" s="1" t="str">
        <f t="shared" si="42"/>
        <v>9.741316+3.207593i</v>
      </c>
      <c r="FM156" s="1" t="str">
        <f t="shared" si="43"/>
        <v>9.741416+2.355066i</v>
      </c>
      <c r="FN156" s="1">
        <f t="shared" si="45"/>
        <v>30.4</v>
      </c>
      <c r="FO156" s="1">
        <f t="shared" si="46"/>
        <v>10.022051763457021</v>
      </c>
    </row>
    <row r="157" spans="2:171" ht="18" customHeight="1" x14ac:dyDescent="0.25">
      <c r="B157" s="6"/>
      <c r="AP157" s="8"/>
      <c r="AR157" s="6"/>
      <c r="AT157" s="24"/>
      <c r="AU157" s="89" t="s">
        <v>231</v>
      </c>
      <c r="AV157" s="89"/>
      <c r="AW157" s="89"/>
      <c r="AX157" s="89"/>
      <c r="AY157" s="89"/>
      <c r="AZ157" s="89"/>
      <c r="BA157" s="89"/>
      <c r="BB157" s="24" t="s">
        <v>166</v>
      </c>
      <c r="CF157" s="8"/>
      <c r="FC157" s="1">
        <f t="shared" si="44"/>
        <v>30.6</v>
      </c>
      <c r="FD157" s="12" t="str">
        <f t="shared" si="35"/>
        <v>0.0001-0.846955i</v>
      </c>
      <c r="FE157" s="13" t="str">
        <f t="shared" si="36"/>
        <v>0.000001-0.03529i</v>
      </c>
      <c r="FF157" s="13" t="str">
        <f t="shared" si="37"/>
        <v>0.010799+33.043941i</v>
      </c>
      <c r="FG157" s="14" t="str">
        <f t="shared" si="38"/>
        <v>10.798674+0.0001i</v>
      </c>
      <c r="FI157" s="1" t="str">
        <f t="shared" si="39"/>
        <v>0.0108+33.008651i</v>
      </c>
      <c r="FJ157" s="1" t="str">
        <f t="shared" si="40"/>
        <v>0.113325+356.449662i</v>
      </c>
      <c r="FK157" s="1" t="str">
        <f t="shared" si="41"/>
        <v>10.809474+33.008751i</v>
      </c>
      <c r="FL157" s="1" t="str">
        <f t="shared" si="42"/>
        <v>9.753784+3.190667i</v>
      </c>
      <c r="FM157" s="1" t="str">
        <f t="shared" si="43"/>
        <v>9.753884+2.343712i</v>
      </c>
      <c r="FN157" s="1">
        <f t="shared" si="45"/>
        <v>30.6</v>
      </c>
      <c r="FO157" s="1">
        <f t="shared" si="46"/>
        <v>10.031512299967536</v>
      </c>
    </row>
    <row r="158" spans="2:171" ht="18" customHeight="1" x14ac:dyDescent="0.25">
      <c r="B158" s="6"/>
      <c r="AP158" s="8"/>
      <c r="AR158" s="6"/>
      <c r="AT158" s="24"/>
      <c r="AU158" s="89" t="s">
        <v>167</v>
      </c>
      <c r="AV158" s="89"/>
      <c r="AW158" s="89"/>
      <c r="AX158" s="89"/>
      <c r="AY158" s="89"/>
      <c r="AZ158" s="89"/>
      <c r="BA158" s="89"/>
      <c r="BB158" s="24" t="s">
        <v>168</v>
      </c>
      <c r="CF158" s="8"/>
      <c r="FC158" s="1">
        <f t="shared" si="44"/>
        <v>30.8</v>
      </c>
      <c r="FD158" s="12" t="str">
        <f t="shared" si="35"/>
        <v>0.0001-0.841455i</v>
      </c>
      <c r="FE158" s="13" t="str">
        <f t="shared" si="36"/>
        <v>0.000001-0.035061i</v>
      </c>
      <c r="FF158" s="13" t="str">
        <f t="shared" si="37"/>
        <v>0.010799+33.259915i</v>
      </c>
      <c r="FG158" s="14" t="str">
        <f t="shared" si="38"/>
        <v>10.798674+0.0001i</v>
      </c>
      <c r="FI158" s="1" t="str">
        <f t="shared" si="39"/>
        <v>0.0108+33.224854i</v>
      </c>
      <c r="FJ158" s="1" t="str">
        <f t="shared" si="40"/>
        <v>0.113303+358.784368i</v>
      </c>
      <c r="FK158" s="1" t="str">
        <f t="shared" si="41"/>
        <v>10.809474+33.224954i</v>
      </c>
      <c r="FL158" s="1" t="str">
        <f t="shared" si="42"/>
        <v>9.766041+3.173893i</v>
      </c>
      <c r="FM158" s="1" t="str">
        <f t="shared" si="43"/>
        <v>9.766141+2.332438i</v>
      </c>
      <c r="FN158" s="1">
        <f t="shared" si="45"/>
        <v>30.8</v>
      </c>
      <c r="FO158" s="1">
        <f t="shared" si="46"/>
        <v>10.040805597945067</v>
      </c>
    </row>
    <row r="159" spans="2:171" ht="18" customHeight="1" x14ac:dyDescent="0.25">
      <c r="B159" s="6"/>
      <c r="AP159" s="8"/>
      <c r="AR159" s="6"/>
      <c r="AT159" s="24"/>
      <c r="AU159" s="89" t="s">
        <v>75</v>
      </c>
      <c r="AV159" s="89"/>
      <c r="AW159" s="89"/>
      <c r="AX159" s="89"/>
      <c r="AY159" s="89"/>
      <c r="AZ159" s="89"/>
      <c r="BA159" s="89"/>
      <c r="BB159" s="24" t="s">
        <v>169</v>
      </c>
      <c r="CF159" s="8"/>
      <c r="FC159" s="1">
        <f t="shared" si="44"/>
        <v>31</v>
      </c>
      <c r="FD159" s="12" t="str">
        <f t="shared" si="35"/>
        <v>0.0001-0.836026i</v>
      </c>
      <c r="FE159" s="13" t="str">
        <f t="shared" si="36"/>
        <v>0.000001-0.034834i</v>
      </c>
      <c r="FF159" s="13" t="str">
        <f t="shared" si="37"/>
        <v>0.010799+33.475888i</v>
      </c>
      <c r="FG159" s="14" t="str">
        <f t="shared" si="38"/>
        <v>10.798674+0.0001i</v>
      </c>
      <c r="FI159" s="1" t="str">
        <f t="shared" si="39"/>
        <v>0.0108+33.441054i</v>
      </c>
      <c r="FJ159" s="1" t="str">
        <f t="shared" si="40"/>
        <v>0.113282+361.119041i</v>
      </c>
      <c r="FK159" s="1" t="str">
        <f t="shared" si="41"/>
        <v>10.809474+33.441154i</v>
      </c>
      <c r="FL159" s="1" t="str">
        <f t="shared" si="42"/>
        <v>9.77809+3.157269i</v>
      </c>
      <c r="FM159" s="1" t="str">
        <f t="shared" si="43"/>
        <v>9.77819+2.321243i</v>
      </c>
      <c r="FN159" s="1">
        <f t="shared" si="45"/>
        <v>31</v>
      </c>
      <c r="FO159" s="1">
        <f t="shared" si="46"/>
        <v>10.049933767998127</v>
      </c>
    </row>
    <row r="160" spans="2:171" ht="18" customHeight="1" x14ac:dyDescent="0.25">
      <c r="B160" s="6"/>
      <c r="AP160" s="8"/>
      <c r="AR160" s="6"/>
      <c r="AT160" s="24"/>
      <c r="AU160" s="89" t="s">
        <v>170</v>
      </c>
      <c r="AV160" s="89"/>
      <c r="AW160" s="89"/>
      <c r="AX160" s="89"/>
      <c r="AY160" s="89"/>
      <c r="AZ160" s="89"/>
      <c r="BA160" s="89"/>
      <c r="BB160" s="24" t="s">
        <v>171</v>
      </c>
      <c r="CF160" s="8"/>
      <c r="FC160" s="1">
        <f t="shared" si="44"/>
        <v>31.2</v>
      </c>
      <c r="FD160" s="12" t="str">
        <f t="shared" si="35"/>
        <v>0.0001-0.830667i</v>
      </c>
      <c r="FE160" s="13" t="str">
        <f t="shared" si="36"/>
        <v>0.000001-0.034611i</v>
      </c>
      <c r="FF160" s="13" t="str">
        <f t="shared" si="37"/>
        <v>0.010799+33.691862i</v>
      </c>
      <c r="FG160" s="14" t="str">
        <f t="shared" si="38"/>
        <v>10.798674+0.0001i</v>
      </c>
      <c r="FI160" s="1" t="str">
        <f t="shared" si="39"/>
        <v>0.0108+33.657251i</v>
      </c>
      <c r="FJ160" s="1" t="str">
        <f t="shared" si="40"/>
        <v>0.11326+363.453682i</v>
      </c>
      <c r="FK160" s="1" t="str">
        <f t="shared" si="41"/>
        <v>10.809474+33.657351i</v>
      </c>
      <c r="FL160" s="1" t="str">
        <f t="shared" si="42"/>
        <v>9.789937+3.140794i</v>
      </c>
      <c r="FM160" s="1" t="str">
        <f t="shared" si="43"/>
        <v>9.790037+2.310127i</v>
      </c>
      <c r="FN160" s="1">
        <f t="shared" si="45"/>
        <v>31.2</v>
      </c>
      <c r="FO160" s="1">
        <f t="shared" si="46"/>
        <v>10.058902088075914</v>
      </c>
    </row>
    <row r="161" spans="2:171" ht="18" customHeight="1" x14ac:dyDescent="0.25">
      <c r="B161" s="6"/>
      <c r="AP161" s="8"/>
      <c r="AR161" s="6"/>
      <c r="AT161" s="24"/>
      <c r="AU161" s="89" t="s">
        <v>172</v>
      </c>
      <c r="AV161" s="89"/>
      <c r="AW161" s="89"/>
      <c r="AX161" s="89"/>
      <c r="AY161" s="89"/>
      <c r="AZ161" s="89"/>
      <c r="BA161" s="89"/>
      <c r="BB161" s="24" t="s">
        <v>173</v>
      </c>
      <c r="CF161" s="8"/>
      <c r="FC161" s="1">
        <f t="shared" si="44"/>
        <v>31.4</v>
      </c>
      <c r="FD161" s="12" t="str">
        <f t="shared" si="35"/>
        <v>0.0001-0.825376i</v>
      </c>
      <c r="FE161" s="13" t="str">
        <f t="shared" si="36"/>
        <v>0.000001-0.034391i</v>
      </c>
      <c r="FF161" s="13" t="str">
        <f t="shared" si="37"/>
        <v>0.010799+33.907835i</v>
      </c>
      <c r="FG161" s="14" t="str">
        <f t="shared" si="38"/>
        <v>10.798674+0.0001i</v>
      </c>
      <c r="FI161" s="1" t="str">
        <f t="shared" si="39"/>
        <v>0.0108+33.873444i</v>
      </c>
      <c r="FJ161" s="1" t="str">
        <f t="shared" si="40"/>
        <v>0.113238+365.78828i</v>
      </c>
      <c r="FK161" s="1" t="str">
        <f t="shared" si="41"/>
        <v>10.809474+33.873544i</v>
      </c>
      <c r="FL161" s="1" t="str">
        <f t="shared" si="42"/>
        <v>9.801586+3.124466i</v>
      </c>
      <c r="FM161" s="1" t="str">
        <f t="shared" si="43"/>
        <v>9.801686+2.29909i</v>
      </c>
      <c r="FN161" s="1">
        <f t="shared" si="45"/>
        <v>31.4</v>
      </c>
      <c r="FO161" s="1">
        <f t="shared" si="46"/>
        <v>10.067713904889033</v>
      </c>
    </row>
    <row r="162" spans="2:171" ht="18" customHeight="1" x14ac:dyDescent="0.25">
      <c r="B162" s="6"/>
      <c r="AP162" s="8"/>
      <c r="AR162" s="6"/>
      <c r="AT162" s="24"/>
      <c r="AU162" s="89" t="s">
        <v>174</v>
      </c>
      <c r="AV162" s="89"/>
      <c r="AW162" s="89"/>
      <c r="AX162" s="89"/>
      <c r="AY162" s="89"/>
      <c r="AZ162" s="89"/>
      <c r="BA162" s="89"/>
      <c r="BB162" s="24" t="s">
        <v>175</v>
      </c>
      <c r="CF162" s="8"/>
      <c r="FC162" s="1">
        <f t="shared" si="44"/>
        <v>31.6</v>
      </c>
      <c r="FD162" s="12" t="str">
        <f t="shared" si="35"/>
        <v>0.0001-0.820152i</v>
      </c>
      <c r="FE162" s="13" t="str">
        <f t="shared" si="36"/>
        <v>0.000001-0.034173i</v>
      </c>
      <c r="FF162" s="13" t="str">
        <f t="shared" si="37"/>
        <v>0.010799+34.123809i</v>
      </c>
      <c r="FG162" s="14" t="str">
        <f t="shared" si="38"/>
        <v>10.798674+0.0001i</v>
      </c>
      <c r="FI162" s="1" t="str">
        <f t="shared" si="39"/>
        <v>0.0108+34.089636i</v>
      </c>
      <c r="FJ162" s="1" t="str">
        <f t="shared" si="40"/>
        <v>0.113217+368.122867i</v>
      </c>
      <c r="FK162" s="1" t="str">
        <f t="shared" si="41"/>
        <v>10.809474+34.089736i</v>
      </c>
      <c r="FL162" s="1" t="str">
        <f t="shared" si="42"/>
        <v>9.81304+3.108284i</v>
      </c>
      <c r="FM162" s="1" t="str">
        <f t="shared" si="43"/>
        <v>9.81314+2.288132i</v>
      </c>
      <c r="FN162" s="1">
        <f t="shared" si="45"/>
        <v>31.6</v>
      </c>
      <c r="FO162" s="1">
        <f t="shared" si="46"/>
        <v>10.076371604353623</v>
      </c>
    </row>
    <row r="163" spans="2:171" ht="18" customHeight="1" x14ac:dyDescent="0.25">
      <c r="B163" s="6"/>
      <c r="AP163" s="8"/>
      <c r="AR163" s="6"/>
      <c r="AT163" s="24"/>
      <c r="AU163" s="89" t="s">
        <v>176</v>
      </c>
      <c r="AV163" s="89"/>
      <c r="AW163" s="89"/>
      <c r="AX163" s="89"/>
      <c r="AY163" s="89"/>
      <c r="AZ163" s="89"/>
      <c r="BA163" s="89"/>
      <c r="BB163" s="24" t="s">
        <v>177</v>
      </c>
      <c r="CF163" s="8"/>
      <c r="FC163" s="1">
        <f t="shared" si="44"/>
        <v>31.8</v>
      </c>
      <c r="FD163" s="12" t="str">
        <f t="shared" si="35"/>
        <v>0.0001-0.814994i</v>
      </c>
      <c r="FE163" s="13" t="str">
        <f t="shared" si="36"/>
        <v>0.000001-0.033958i</v>
      </c>
      <c r="FF163" s="13" t="str">
        <f t="shared" si="37"/>
        <v>0.010799+34.339782i</v>
      </c>
      <c r="FG163" s="14" t="str">
        <f t="shared" si="38"/>
        <v>10.798674+0.0001i</v>
      </c>
      <c r="FI163" s="1" t="str">
        <f t="shared" si="39"/>
        <v>0.0108+34.305824i</v>
      </c>
      <c r="FJ163" s="1" t="str">
        <f t="shared" si="40"/>
        <v>0.113195+370.457411i</v>
      </c>
      <c r="FK163" s="1" t="str">
        <f t="shared" si="41"/>
        <v>10.809474+34.305924i</v>
      </c>
      <c r="FL163" s="1" t="str">
        <f t="shared" si="42"/>
        <v>9.824305+3.092246i</v>
      </c>
      <c r="FM163" s="1" t="str">
        <f t="shared" si="43"/>
        <v>9.824405+2.277252i</v>
      </c>
      <c r="FN163" s="1">
        <f t="shared" si="45"/>
        <v>31.8</v>
      </c>
      <c r="FO163" s="1">
        <f t="shared" si="46"/>
        <v>10.084880280674085</v>
      </c>
    </row>
    <row r="164" spans="2:171" ht="18" customHeight="1" x14ac:dyDescent="0.25">
      <c r="B164" s="6"/>
      <c r="AP164" s="8"/>
      <c r="AR164" s="6"/>
      <c r="AT164" s="24"/>
      <c r="AU164" s="89" t="s">
        <v>178</v>
      </c>
      <c r="AV164" s="89"/>
      <c r="AW164" s="89"/>
      <c r="AX164" s="89"/>
      <c r="AY164" s="89"/>
      <c r="AZ164" s="89"/>
      <c r="BA164" s="89"/>
      <c r="BB164" s="24" t="s">
        <v>352</v>
      </c>
      <c r="CF164" s="8"/>
      <c r="FC164" s="1">
        <f t="shared" si="44"/>
        <v>32</v>
      </c>
      <c r="FD164" s="12" t="str">
        <f t="shared" si="35"/>
        <v>0.0001-0.809901i</v>
      </c>
      <c r="FE164" s="13" t="str">
        <f t="shared" si="36"/>
        <v>0.000001-0.033746i</v>
      </c>
      <c r="FF164" s="13" t="str">
        <f t="shared" si="37"/>
        <v>0.010799+34.555756i</v>
      </c>
      <c r="FG164" s="14" t="str">
        <f t="shared" si="38"/>
        <v>10.798674+0.0001i</v>
      </c>
      <c r="FI164" s="1" t="str">
        <f t="shared" si="39"/>
        <v>0.0108+34.52201i</v>
      </c>
      <c r="FJ164" s="1" t="str">
        <f t="shared" si="40"/>
        <v>0.113173+372.791933i</v>
      </c>
      <c r="FK164" s="1" t="str">
        <f t="shared" si="41"/>
        <v>10.809474+34.52211i</v>
      </c>
      <c r="FL164" s="1" t="str">
        <f t="shared" si="42"/>
        <v>9.835383+3.076352i</v>
      </c>
      <c r="FM164" s="1" t="str">
        <f t="shared" si="43"/>
        <v>9.835483+2.266451i</v>
      </c>
      <c r="FN164" s="1">
        <f t="shared" si="45"/>
        <v>32</v>
      </c>
      <c r="FO164" s="1">
        <f t="shared" si="46"/>
        <v>10.093241599143955</v>
      </c>
    </row>
    <row r="165" spans="2:171" ht="18" customHeight="1" x14ac:dyDescent="0.25">
      <c r="B165" s="6"/>
      <c r="AP165" s="8"/>
      <c r="AR165" s="6"/>
      <c r="AT165" s="24"/>
      <c r="AU165" s="89" t="s">
        <v>179</v>
      </c>
      <c r="AV165" s="89"/>
      <c r="AW165" s="89"/>
      <c r="AX165" s="89"/>
      <c r="AY165" s="89"/>
      <c r="AZ165" s="89"/>
      <c r="BA165" s="89"/>
      <c r="BB165" s="24" t="s">
        <v>180</v>
      </c>
      <c r="CF165" s="8"/>
      <c r="FC165" s="1">
        <f t="shared" si="44"/>
        <v>32.200000000000003</v>
      </c>
      <c r="FD165" s="12" t="str">
        <f t="shared" si="35"/>
        <v>0.0001-0.80487i</v>
      </c>
      <c r="FE165" s="13" t="str">
        <f t="shared" si="36"/>
        <v>0.000001-0.033536i</v>
      </c>
      <c r="FF165" s="13" t="str">
        <f t="shared" si="37"/>
        <v>0.010799+34.771729i</v>
      </c>
      <c r="FG165" s="14" t="str">
        <f t="shared" si="38"/>
        <v>10.798674+0.0001i</v>
      </c>
      <c r="FI165" s="1" t="str">
        <f t="shared" si="39"/>
        <v>0.0108+34.738193i</v>
      </c>
      <c r="FJ165" s="1" t="str">
        <f t="shared" si="40"/>
        <v>0.113152+375.126423i</v>
      </c>
      <c r="FK165" s="1" t="str">
        <f t="shared" si="41"/>
        <v>10.809474+34.738293i</v>
      </c>
      <c r="FL165" s="1" t="str">
        <f t="shared" si="42"/>
        <v>9.84628+3.060598i</v>
      </c>
      <c r="FM165" s="1" t="str">
        <f t="shared" si="43"/>
        <v>9.84638+2.255728i</v>
      </c>
      <c r="FN165" s="1">
        <f t="shared" si="45"/>
        <v>32.200000000000003</v>
      </c>
      <c r="FO165" s="1">
        <f t="shared" si="46"/>
        <v>10.101460682217398</v>
      </c>
    </row>
    <row r="166" spans="2:171" ht="18" customHeight="1" x14ac:dyDescent="0.25">
      <c r="B166" s="6"/>
      <c r="AP166" s="8"/>
      <c r="AR166" s="6"/>
      <c r="AT166" s="89" t="s">
        <v>61</v>
      </c>
      <c r="AU166" s="89"/>
      <c r="AV166" s="89"/>
      <c r="AW166" s="89"/>
      <c r="AX166" s="89"/>
      <c r="AY166" s="89"/>
      <c r="AZ166" s="89"/>
      <c r="BA166" s="89"/>
      <c r="BB166" s="24" t="s">
        <v>181</v>
      </c>
      <c r="CF166" s="8"/>
      <c r="FC166" s="1">
        <f t="shared" si="44"/>
        <v>32.4</v>
      </c>
      <c r="FD166" s="12" t="str">
        <f t="shared" si="35"/>
        <v>0.0001-0.799902i</v>
      </c>
      <c r="FE166" s="13" t="str">
        <f t="shared" si="36"/>
        <v>0.000001-0.033329i</v>
      </c>
      <c r="FF166" s="13" t="str">
        <f t="shared" si="37"/>
        <v>0.010799+34.987703i</v>
      </c>
      <c r="FG166" s="14" t="str">
        <f t="shared" si="38"/>
        <v>10.798674+0.0001i</v>
      </c>
      <c r="FI166" s="1" t="str">
        <f t="shared" si="39"/>
        <v>0.0108+34.954374i</v>
      </c>
      <c r="FJ166" s="1" t="str">
        <f t="shared" si="40"/>
        <v>0.11313+377.460891i</v>
      </c>
      <c r="FK166" s="1" t="str">
        <f t="shared" si="41"/>
        <v>10.809474+34.954474i</v>
      </c>
      <c r="FL166" s="1" t="str">
        <f t="shared" si="42"/>
        <v>9.856999+3.044985i</v>
      </c>
      <c r="FM166" s="1" t="str">
        <f t="shared" si="43"/>
        <v>9.857099+2.245083i</v>
      </c>
      <c r="FN166" s="1">
        <f t="shared" si="45"/>
        <v>32.4</v>
      </c>
      <c r="FO166" s="1">
        <f t="shared" si="46"/>
        <v>10.109539968400638</v>
      </c>
    </row>
    <row r="167" spans="2:171" ht="18" customHeight="1" x14ac:dyDescent="0.25">
      <c r="B167" s="6"/>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8"/>
      <c r="AR167" s="6"/>
      <c r="AT167" s="24"/>
      <c r="AU167" s="89" t="s">
        <v>182</v>
      </c>
      <c r="AV167" s="89"/>
      <c r="AW167" s="89"/>
      <c r="AX167" s="89"/>
      <c r="AY167" s="89"/>
      <c r="AZ167" s="89"/>
      <c r="BA167" s="89"/>
      <c r="BB167" s="24" t="s">
        <v>183</v>
      </c>
      <c r="CF167" s="8"/>
      <c r="FC167" s="1">
        <f t="shared" si="44"/>
        <v>32.6</v>
      </c>
      <c r="FD167" s="12" t="str">
        <f t="shared" si="35"/>
        <v>0.0001-0.794994i</v>
      </c>
      <c r="FE167" s="13" t="str">
        <f t="shared" si="36"/>
        <v>0.000001-0.033125i</v>
      </c>
      <c r="FF167" s="13" t="str">
        <f t="shared" si="37"/>
        <v>0.010799+35.203676i</v>
      </c>
      <c r="FG167" s="14" t="str">
        <f t="shared" si="38"/>
        <v>10.798674+0.0001i</v>
      </c>
      <c r="FI167" s="1" t="str">
        <f t="shared" si="39"/>
        <v>0.0108+35.170551i</v>
      </c>
      <c r="FJ167" s="1" t="str">
        <f t="shared" si="40"/>
        <v>0.113109+379.795316i</v>
      </c>
      <c r="FK167" s="1" t="str">
        <f t="shared" si="41"/>
        <v>10.809474+35.170651i</v>
      </c>
      <c r="FL167" s="1" t="str">
        <f t="shared" si="42"/>
        <v>9.867543+3.02951i</v>
      </c>
      <c r="FM167" s="1" t="str">
        <f t="shared" si="43"/>
        <v>9.867643+2.234516i</v>
      </c>
      <c r="FN167" s="1">
        <f t="shared" ref="FN167:FN198" si="47">FC167</f>
        <v>32.6</v>
      </c>
      <c r="FO167" s="1">
        <f t="shared" ref="FO167:FO198" si="48">IMABS(FM167)</f>
        <v>10.117481906566722</v>
      </c>
    </row>
    <row r="168" spans="2:171" ht="18" customHeight="1" x14ac:dyDescent="0.3">
      <c r="B168" s="6"/>
      <c r="C168" s="30" t="s">
        <v>184</v>
      </c>
      <c r="AP168" s="8"/>
      <c r="AR168" s="6"/>
      <c r="AT168" s="24"/>
      <c r="AU168" s="89" t="s">
        <v>188</v>
      </c>
      <c r="AV168" s="89"/>
      <c r="AW168" s="89"/>
      <c r="AX168" s="89"/>
      <c r="AY168" s="89"/>
      <c r="AZ168" s="89"/>
      <c r="BA168" s="89"/>
      <c r="BB168" s="24" t="s">
        <v>257</v>
      </c>
      <c r="CF168" s="8"/>
      <c r="FC168" s="1">
        <f t="shared" si="44"/>
        <v>32.799999999999997</v>
      </c>
      <c r="FD168" s="12" t="str">
        <f t="shared" si="35"/>
        <v>0.0001-0.790147i</v>
      </c>
      <c r="FE168" s="13" t="str">
        <f t="shared" si="36"/>
        <v>0.000001-0.032923i</v>
      </c>
      <c r="FF168" s="13" t="str">
        <f t="shared" si="37"/>
        <v>0.010799+35.419649i</v>
      </c>
      <c r="FG168" s="14" t="str">
        <f t="shared" si="38"/>
        <v>10.798674+0.0001i</v>
      </c>
      <c r="FI168" s="1" t="str">
        <f t="shared" si="39"/>
        <v>0.0108+35.386726i</v>
      </c>
      <c r="FJ168" s="1" t="str">
        <f t="shared" si="40"/>
        <v>0.113087+382.129719i</v>
      </c>
      <c r="FK168" s="1" t="str">
        <f t="shared" si="41"/>
        <v>10.809474+35.386826i</v>
      </c>
      <c r="FL168" s="1" t="str">
        <f t="shared" si="42"/>
        <v>9.877916+3.014172i</v>
      </c>
      <c r="FM168" s="1" t="str">
        <f t="shared" si="43"/>
        <v>9.878016+2.224025i</v>
      </c>
      <c r="FN168" s="1">
        <f t="shared" si="47"/>
        <v>32.799999999999997</v>
      </c>
      <c r="FO168" s="1">
        <f t="shared" si="48"/>
        <v>10.125289492003724</v>
      </c>
    </row>
    <row r="169" spans="2:171" ht="18" customHeight="1" x14ac:dyDescent="0.25">
      <c r="B169" s="6"/>
      <c r="AP169" s="8"/>
      <c r="AR169" s="6"/>
      <c r="AT169" s="24"/>
      <c r="AU169" s="89" t="s">
        <v>186</v>
      </c>
      <c r="AV169" s="89"/>
      <c r="AW169" s="89"/>
      <c r="AX169" s="89"/>
      <c r="AY169" s="89"/>
      <c r="AZ169" s="89"/>
      <c r="BA169" s="89"/>
      <c r="BB169" s="24" t="s">
        <v>187</v>
      </c>
      <c r="CF169" s="8"/>
      <c r="FC169" s="1">
        <f t="shared" si="44"/>
        <v>33</v>
      </c>
      <c r="FD169" s="12" t="str">
        <f t="shared" si="35"/>
        <v>0.0001-0.785358i</v>
      </c>
      <c r="FE169" s="13" t="str">
        <f t="shared" si="36"/>
        <v>0.000001-0.032723i</v>
      </c>
      <c r="FF169" s="13" t="str">
        <f t="shared" si="37"/>
        <v>0.010799+35.635623i</v>
      </c>
      <c r="FG169" s="14" t="str">
        <f t="shared" si="38"/>
        <v>10.798674+0.0001i</v>
      </c>
      <c r="FI169" s="1" t="str">
        <f t="shared" si="39"/>
        <v>0.0108+35.6029i</v>
      </c>
      <c r="FJ169" s="1" t="str">
        <f t="shared" si="40"/>
        <v>0.113065+384.464112i</v>
      </c>
      <c r="FK169" s="1" t="str">
        <f t="shared" si="41"/>
        <v>10.809474+35.603i</v>
      </c>
      <c r="FL169" s="1" t="str">
        <f t="shared" si="42"/>
        <v>9.888122+2.99897i</v>
      </c>
      <c r="FM169" s="1" t="str">
        <f t="shared" si="43"/>
        <v>9.888222+2.213612i</v>
      </c>
      <c r="FN169" s="1">
        <f t="shared" si="47"/>
        <v>33</v>
      </c>
      <c r="FO169" s="1">
        <f t="shared" si="48"/>
        <v>10.132966614364623</v>
      </c>
    </row>
    <row r="170" spans="2:171" ht="18" customHeight="1" x14ac:dyDescent="0.25">
      <c r="B170" s="6"/>
      <c r="C170" s="91" t="s">
        <v>355</v>
      </c>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P170" s="8"/>
      <c r="AR170" s="6"/>
      <c r="AT170" s="24"/>
      <c r="BA170" s="32" t="s">
        <v>188</v>
      </c>
      <c r="BB170" s="24" t="s">
        <v>348</v>
      </c>
      <c r="BC170" s="23"/>
      <c r="BD170" s="23"/>
      <c r="BE170" s="23"/>
      <c r="BF170" s="23"/>
      <c r="BH170" s="23"/>
      <c r="BI170" s="23"/>
      <c r="BJ170" s="23"/>
      <c r="BK170" s="23"/>
      <c r="BL170" s="23"/>
      <c r="BM170" s="23"/>
      <c r="BN170" s="23"/>
      <c r="BO170" s="23"/>
      <c r="BP170" s="23"/>
      <c r="BQ170" s="23"/>
      <c r="CF170" s="8"/>
      <c r="FC170" s="1">
        <f t="shared" si="44"/>
        <v>33.200000000000003</v>
      </c>
      <c r="FD170" s="12" t="str">
        <f t="shared" si="35"/>
        <v>0.0001-0.780627i</v>
      </c>
      <c r="FE170" s="13" t="str">
        <f t="shared" si="36"/>
        <v>0.000001-0.032526i</v>
      </c>
      <c r="FF170" s="13" t="str">
        <f t="shared" si="37"/>
        <v>0.010799+35.851596i</v>
      </c>
      <c r="FG170" s="14" t="str">
        <f t="shared" si="38"/>
        <v>10.798674+0.0001i</v>
      </c>
      <c r="FI170" s="1" t="str">
        <f t="shared" si="39"/>
        <v>0.0108+35.81907i</v>
      </c>
      <c r="FJ170" s="1" t="str">
        <f t="shared" si="40"/>
        <v>0.113044+386.798461i</v>
      </c>
      <c r="FK170" s="1" t="str">
        <f t="shared" si="41"/>
        <v>10.809474+35.81917i</v>
      </c>
      <c r="FL170" s="1" t="str">
        <f t="shared" si="42"/>
        <v>9.898165+2.983902i</v>
      </c>
      <c r="FM170" s="1" t="str">
        <f t="shared" si="43"/>
        <v>9.898265+2.203275i</v>
      </c>
      <c r="FN170" s="1">
        <f t="shared" si="47"/>
        <v>33.200000000000003</v>
      </c>
      <c r="FO170" s="1">
        <f t="shared" si="48"/>
        <v>10.14051629532984</v>
      </c>
    </row>
    <row r="171" spans="2:171" ht="18" customHeight="1" x14ac:dyDescent="0.25">
      <c r="B171" s="6"/>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P171" s="8"/>
      <c r="AR171" s="6"/>
      <c r="AT171" s="24"/>
      <c r="BA171" s="32" t="s">
        <v>189</v>
      </c>
      <c r="BB171" s="24" t="s">
        <v>349</v>
      </c>
      <c r="BC171" s="23"/>
      <c r="BD171" s="23"/>
      <c r="BE171" s="23"/>
      <c r="BF171" s="23"/>
      <c r="BG171" s="23"/>
      <c r="BH171" s="23"/>
      <c r="BI171" s="23"/>
      <c r="BJ171" s="23"/>
      <c r="BK171" s="23"/>
      <c r="BL171" s="23"/>
      <c r="BM171" s="23"/>
      <c r="BN171" s="23"/>
      <c r="BO171" s="23"/>
      <c r="BP171" s="23"/>
      <c r="BQ171" s="23"/>
      <c r="CF171" s="8"/>
      <c r="FC171" s="1">
        <f t="shared" si="44"/>
        <v>33.4</v>
      </c>
      <c r="FD171" s="12" t="str">
        <f t="shared" si="35"/>
        <v>0.0001-0.775953i</v>
      </c>
      <c r="FE171" s="13" t="str">
        <f t="shared" si="36"/>
        <v>0.000001-0.032331i</v>
      </c>
      <c r="FF171" s="13" t="str">
        <f t="shared" si="37"/>
        <v>0.010799+36.06757i</v>
      </c>
      <c r="FG171" s="14" t="str">
        <f t="shared" si="38"/>
        <v>10.798674+0.0001i</v>
      </c>
      <c r="FI171" s="1" t="str">
        <f t="shared" si="39"/>
        <v>0.0108+36.035239i</v>
      </c>
      <c r="FJ171" s="1" t="str">
        <f t="shared" si="40"/>
        <v>0.113022+389.1328i</v>
      </c>
      <c r="FK171" s="1" t="str">
        <f t="shared" si="41"/>
        <v>10.809474+36.035339i</v>
      </c>
      <c r="FL171" s="1" t="str">
        <f t="shared" si="42"/>
        <v>9.908047+2.968968i</v>
      </c>
      <c r="FM171" s="1" t="str">
        <f t="shared" si="43"/>
        <v>9.908147+2.193015i</v>
      </c>
      <c r="FN171" s="1">
        <f t="shared" si="47"/>
        <v>33.4</v>
      </c>
      <c r="FO171" s="1">
        <f t="shared" si="48"/>
        <v>10.147940271987906</v>
      </c>
    </row>
    <row r="172" spans="2:171" ht="18" customHeight="1" x14ac:dyDescent="0.25">
      <c r="B172" s="6"/>
      <c r="AP172" s="8"/>
      <c r="AR172" s="6"/>
      <c r="AT172" s="24"/>
      <c r="AU172" s="89" t="s">
        <v>190</v>
      </c>
      <c r="AV172" s="89"/>
      <c r="AW172" s="89"/>
      <c r="AX172" s="89"/>
      <c r="AY172" s="89"/>
      <c r="AZ172" s="89"/>
      <c r="BA172" s="89"/>
      <c r="BB172" s="24" t="s">
        <v>191</v>
      </c>
      <c r="CF172" s="8"/>
      <c r="FC172" s="1">
        <f t="shared" si="44"/>
        <v>33.6</v>
      </c>
      <c r="FD172" s="12" t="str">
        <f t="shared" si="35"/>
        <v>0.0001-0.771334i</v>
      </c>
      <c r="FE172" s="13" t="str">
        <f t="shared" si="36"/>
        <v>0.000001-0.032139i</v>
      </c>
      <c r="FF172" s="13" t="str">
        <f t="shared" si="37"/>
        <v>0.010799+36.283543i</v>
      </c>
      <c r="FG172" s="14" t="str">
        <f t="shared" si="38"/>
        <v>10.798674+0.0001i</v>
      </c>
      <c r="FI172" s="1" t="str">
        <f t="shared" si="39"/>
        <v>0.0108+36.251404i</v>
      </c>
      <c r="FJ172" s="1" t="str">
        <f t="shared" si="40"/>
        <v>0.113001+391.467095i</v>
      </c>
      <c r="FK172" s="1" t="str">
        <f t="shared" si="41"/>
        <v>10.809474+36.251504i</v>
      </c>
      <c r="FL172" s="1" t="str">
        <f t="shared" si="42"/>
        <v>9.917772+2.954164i</v>
      </c>
      <c r="FM172" s="1" t="str">
        <f t="shared" si="43"/>
        <v>9.917872+2.18283i</v>
      </c>
      <c r="FN172" s="1">
        <f t="shared" si="47"/>
        <v>33.6</v>
      </c>
      <c r="FO172" s="1">
        <f t="shared" si="48"/>
        <v>10.155241593250453</v>
      </c>
    </row>
    <row r="173" spans="2:171" ht="18" customHeight="1" x14ac:dyDescent="0.25">
      <c r="B173" s="6"/>
      <c r="AP173" s="8"/>
      <c r="AR173" s="6"/>
      <c r="AT173" s="24"/>
      <c r="AU173" s="89" t="s">
        <v>192</v>
      </c>
      <c r="AV173" s="89"/>
      <c r="AW173" s="89"/>
      <c r="AX173" s="89"/>
      <c r="AY173" s="89"/>
      <c r="AZ173" s="89"/>
      <c r="BA173" s="89"/>
      <c r="BB173" s="24" t="s">
        <v>193</v>
      </c>
      <c r="CF173" s="8"/>
      <c r="FC173" s="1">
        <f t="shared" si="44"/>
        <v>33.799999999999997</v>
      </c>
      <c r="FD173" s="12" t="str">
        <f t="shared" si="35"/>
        <v>0.0001-0.76677i</v>
      </c>
      <c r="FE173" s="13" t="str">
        <f t="shared" si="36"/>
        <v>0.000001-0.031949i</v>
      </c>
      <c r="FF173" s="13" t="str">
        <f t="shared" si="37"/>
        <v>0.010799+36.499517i</v>
      </c>
      <c r="FG173" s="14" t="str">
        <f t="shared" si="38"/>
        <v>10.798674+0.0001i</v>
      </c>
      <c r="FI173" s="1" t="str">
        <f t="shared" si="39"/>
        <v>0.0108+36.467568i</v>
      </c>
      <c r="FJ173" s="1" t="str">
        <f t="shared" si="40"/>
        <v>0.112979+393.801379i</v>
      </c>
      <c r="FK173" s="1" t="str">
        <f t="shared" si="41"/>
        <v>10.809474+36.467668i</v>
      </c>
      <c r="FL173" s="1" t="str">
        <f t="shared" si="42"/>
        <v>9.927343+2.939491i</v>
      </c>
      <c r="FM173" s="1" t="str">
        <f t="shared" si="43"/>
        <v>9.927443+2.172721i</v>
      </c>
      <c r="FN173" s="1">
        <f t="shared" si="47"/>
        <v>33.799999999999997</v>
      </c>
      <c r="FO173" s="1">
        <f t="shared" si="48"/>
        <v>10.162422991692976</v>
      </c>
    </row>
    <row r="174" spans="2:171" ht="18" customHeight="1" x14ac:dyDescent="0.25">
      <c r="B174" s="6"/>
      <c r="AP174" s="8"/>
      <c r="AR174" s="6"/>
      <c r="AT174" s="24"/>
      <c r="AU174" s="89" t="s">
        <v>66</v>
      </c>
      <c r="AV174" s="89"/>
      <c r="AW174" s="89"/>
      <c r="AX174" s="89"/>
      <c r="AY174" s="89"/>
      <c r="AZ174" s="89"/>
      <c r="BA174" s="89"/>
      <c r="BB174" s="24" t="s">
        <v>194</v>
      </c>
      <c r="CF174" s="8"/>
      <c r="DV174" s="1" t="s">
        <v>11</v>
      </c>
      <c r="FC174" s="1">
        <f t="shared" si="44"/>
        <v>34</v>
      </c>
      <c r="FD174" s="12" t="str">
        <f t="shared" si="35"/>
        <v>0.0001-0.762259i</v>
      </c>
      <c r="FE174" s="13" t="str">
        <f t="shared" si="36"/>
        <v>0.000001-0.031761i</v>
      </c>
      <c r="FF174" s="13" t="str">
        <f t="shared" si="37"/>
        <v>0.010799+36.71549i</v>
      </c>
      <c r="FG174" s="14" t="str">
        <f t="shared" si="38"/>
        <v>10.798674+0.0001i</v>
      </c>
      <c r="FI174" s="1" t="str">
        <f t="shared" si="39"/>
        <v>0.0108+36.683729i</v>
      </c>
      <c r="FJ174" s="1" t="str">
        <f t="shared" si="40"/>
        <v>0.112957+396.135632i</v>
      </c>
      <c r="FK174" s="1" t="str">
        <f t="shared" si="41"/>
        <v>10.809474+36.683829i</v>
      </c>
      <c r="FL174" s="1" t="str">
        <f t="shared" si="42"/>
        <v>9.936763+2.924946i</v>
      </c>
      <c r="FM174" s="1" t="str">
        <f t="shared" si="43"/>
        <v>9.936863+2.162687i</v>
      </c>
      <c r="FN174" s="1">
        <f t="shared" si="47"/>
        <v>34</v>
      </c>
      <c r="FO174" s="1">
        <f t="shared" si="48"/>
        <v>10.169486778630375</v>
      </c>
    </row>
    <row r="175" spans="2:171" ht="18" customHeight="1" x14ac:dyDescent="0.25">
      <c r="B175" s="6"/>
      <c r="AP175" s="8"/>
      <c r="AR175" s="6"/>
      <c r="AU175" s="89" t="s">
        <v>62</v>
      </c>
      <c r="AV175" s="89"/>
      <c r="AW175" s="89"/>
      <c r="AX175" s="89"/>
      <c r="AY175" s="89"/>
      <c r="AZ175" s="89"/>
      <c r="BA175" s="89"/>
      <c r="BB175" s="24" t="s">
        <v>195</v>
      </c>
      <c r="CF175" s="8"/>
      <c r="DV175" s="1" t="s">
        <v>11</v>
      </c>
      <c r="FC175" s="1">
        <f t="shared" si="44"/>
        <v>34.200000000000003</v>
      </c>
      <c r="FD175" s="12" t="str">
        <f t="shared" si="35"/>
        <v>0.0001-0.757802i</v>
      </c>
      <c r="FE175" s="13" t="str">
        <f t="shared" si="36"/>
        <v>0.000001-0.031575i</v>
      </c>
      <c r="FF175" s="13" t="str">
        <f t="shared" si="37"/>
        <v>0.010799+36.931464i</v>
      </c>
      <c r="FG175" s="14" t="str">
        <f t="shared" si="38"/>
        <v>10.798674+0.0001i</v>
      </c>
      <c r="FI175" s="1" t="str">
        <f t="shared" si="39"/>
        <v>0.0108+36.899889i</v>
      </c>
      <c r="FJ175" s="1" t="str">
        <f t="shared" si="40"/>
        <v>0.112936+398.469873i</v>
      </c>
      <c r="FK175" s="1" t="str">
        <f t="shared" si="41"/>
        <v>10.809474+36.899989i</v>
      </c>
      <c r="FL175" s="1" t="str">
        <f t="shared" si="42"/>
        <v>9.946035+2.910529i</v>
      </c>
      <c r="FM175" s="1" t="str">
        <f t="shared" si="43"/>
        <v>9.946135+2.152727i</v>
      </c>
      <c r="FN175" s="1">
        <f t="shared" si="47"/>
        <v>34.200000000000003</v>
      </c>
      <c r="FO175" s="1">
        <f t="shared" si="48"/>
        <v>10.17643527836511</v>
      </c>
    </row>
    <row r="176" spans="2:171" ht="18" customHeight="1" x14ac:dyDescent="0.25">
      <c r="B176" s="6"/>
      <c r="AP176" s="8"/>
      <c r="AR176" s="6"/>
      <c r="AU176" s="89" t="s">
        <v>218</v>
      </c>
      <c r="AV176" s="89"/>
      <c r="AW176" s="89"/>
      <c r="AX176" s="89"/>
      <c r="AY176" s="89"/>
      <c r="AZ176" s="89"/>
      <c r="BA176" s="89"/>
      <c r="BB176" s="24" t="s">
        <v>299</v>
      </c>
      <c r="CF176" s="8"/>
      <c r="FC176" s="1">
        <f t="shared" si="44"/>
        <v>34.4</v>
      </c>
      <c r="FD176" s="12" t="str">
        <f t="shared" si="35"/>
        <v>0.0001-0.753396i</v>
      </c>
      <c r="FE176" s="13" t="str">
        <f t="shared" si="36"/>
        <v>0.000001-0.031391i</v>
      </c>
      <c r="FF176" s="13" t="str">
        <f t="shared" si="37"/>
        <v>0.010799+37.147437i</v>
      </c>
      <c r="FG176" s="14" t="str">
        <f t="shared" si="38"/>
        <v>10.798674+0.0001i</v>
      </c>
      <c r="FI176" s="1" t="str">
        <f t="shared" si="39"/>
        <v>0.0108+37.116046i</v>
      </c>
      <c r="FJ176" s="1" t="str">
        <f t="shared" si="40"/>
        <v>0.112914+400.804082i</v>
      </c>
      <c r="FK176" s="1" t="str">
        <f t="shared" si="41"/>
        <v>10.809474+37.116146i</v>
      </c>
      <c r="FL176" s="1" t="str">
        <f t="shared" si="42"/>
        <v>9.955163+2.896237i</v>
      </c>
      <c r="FM176" s="1" t="str">
        <f t="shared" si="43"/>
        <v>9.955263+2.142841i</v>
      </c>
      <c r="FN176" s="1">
        <f t="shared" si="47"/>
        <v>34.4</v>
      </c>
      <c r="FO176" s="1">
        <f t="shared" si="48"/>
        <v>10.183272015931323</v>
      </c>
    </row>
    <row r="177" spans="2:171" ht="18" customHeight="1" x14ac:dyDescent="0.35">
      <c r="B177" s="6"/>
      <c r="AP177" s="8"/>
      <c r="AR177" s="6"/>
      <c r="BA177" s="35" t="s">
        <v>258</v>
      </c>
      <c r="BB177" s="1" t="s">
        <v>338</v>
      </c>
      <c r="CF177" s="8"/>
      <c r="FC177" s="1">
        <f t="shared" si="44"/>
        <v>34.6</v>
      </c>
      <c r="FD177" s="12" t="str">
        <f t="shared" si="35"/>
        <v>0.0001-0.749041i</v>
      </c>
      <c r="FE177" s="13" t="str">
        <f t="shared" si="36"/>
        <v>0.000001-0.03121i</v>
      </c>
      <c r="FF177" s="13" t="str">
        <f t="shared" si="37"/>
        <v>0.010799+37.363411i</v>
      </c>
      <c r="FG177" s="14" t="str">
        <f t="shared" si="38"/>
        <v>10.798674+0.0001i</v>
      </c>
      <c r="FI177" s="1" t="str">
        <f t="shared" si="39"/>
        <v>0.0108+37.332201i</v>
      </c>
      <c r="FJ177" s="1" t="str">
        <f t="shared" si="40"/>
        <v>0.112892+403.138269i</v>
      </c>
      <c r="FK177" s="1" t="str">
        <f t="shared" si="41"/>
        <v>10.809474+37.332301i</v>
      </c>
      <c r="FL177" s="1" t="str">
        <f t="shared" si="42"/>
        <v>9.964149+2.88207i</v>
      </c>
      <c r="FM177" s="1" t="str">
        <f t="shared" si="43"/>
        <v>9.964249+2.133029i</v>
      </c>
      <c r="FN177" s="1">
        <f t="shared" si="47"/>
        <v>34.6</v>
      </c>
      <c r="FO177" s="1">
        <f t="shared" si="48"/>
        <v>10.189998569619233</v>
      </c>
    </row>
    <row r="178" spans="2:171" ht="18" customHeight="1" x14ac:dyDescent="0.35">
      <c r="B178" s="6"/>
      <c r="AP178" s="8"/>
      <c r="AR178" s="6"/>
      <c r="BA178" s="35" t="s">
        <v>259</v>
      </c>
      <c r="BB178" s="1" t="s">
        <v>260</v>
      </c>
      <c r="CF178" s="8"/>
      <c r="FC178" s="1">
        <f t="shared" si="44"/>
        <v>34.799999999999997</v>
      </c>
      <c r="FD178" s="12" t="str">
        <f t="shared" si="35"/>
        <v>0.0001-0.744736i</v>
      </c>
      <c r="FE178" s="13" t="str">
        <f t="shared" si="36"/>
        <v>0.000001-0.031031i</v>
      </c>
      <c r="FF178" s="13" t="str">
        <f t="shared" si="37"/>
        <v>0.010799+37.579384i</v>
      </c>
      <c r="FG178" s="14" t="str">
        <f t="shared" si="38"/>
        <v>10.798674+0.0001i</v>
      </c>
      <c r="FI178" s="1" t="str">
        <f t="shared" si="39"/>
        <v>0.0108+37.548353i</v>
      </c>
      <c r="FJ178" s="1" t="str">
        <f t="shared" si="40"/>
        <v>0.112871+405.472424i</v>
      </c>
      <c r="FK178" s="1" t="str">
        <f t="shared" si="41"/>
        <v>10.809474+37.548453i</v>
      </c>
      <c r="FL178" s="1" t="str">
        <f t="shared" si="42"/>
        <v>9.972996+2.868027i</v>
      </c>
      <c r="FM178" s="1" t="str">
        <f t="shared" si="43"/>
        <v>9.973096+2.123291i</v>
      </c>
      <c r="FN178" s="1">
        <f t="shared" si="47"/>
        <v>34.799999999999997</v>
      </c>
      <c r="FO178" s="1">
        <f t="shared" si="48"/>
        <v>10.196617502676906</v>
      </c>
    </row>
    <row r="179" spans="2:171" ht="18" customHeight="1" x14ac:dyDescent="0.25">
      <c r="B179" s="6"/>
      <c r="AP179" s="8"/>
      <c r="AR179" s="6"/>
      <c r="BA179" s="35" t="s">
        <v>219</v>
      </c>
      <c r="BB179" s="1" t="s">
        <v>220</v>
      </c>
      <c r="CF179" s="8"/>
      <c r="FC179" s="1">
        <f t="shared" si="44"/>
        <v>35</v>
      </c>
      <c r="FD179" s="12" t="str">
        <f t="shared" si="35"/>
        <v>0.0001-0.74048i</v>
      </c>
      <c r="FE179" s="13" t="str">
        <f t="shared" si="36"/>
        <v>0.000001-0.030853i</v>
      </c>
      <c r="FF179" s="13" t="str">
        <f t="shared" si="37"/>
        <v>0.010799+37.795358i</v>
      </c>
      <c r="FG179" s="14" t="str">
        <f t="shared" si="38"/>
        <v>10.798674+0.0001i</v>
      </c>
      <c r="FI179" s="1" t="str">
        <f t="shared" si="39"/>
        <v>0.0108+37.764505i</v>
      </c>
      <c r="FJ179" s="1" t="str">
        <f t="shared" si="40"/>
        <v>0.112849+407.806579i</v>
      </c>
      <c r="FK179" s="1" t="str">
        <f t="shared" si="41"/>
        <v>10.809474+37.764605i</v>
      </c>
      <c r="FL179" s="1" t="str">
        <f t="shared" si="42"/>
        <v>9.981707+2.854105i</v>
      </c>
      <c r="FM179" s="1" t="str">
        <f t="shared" si="43"/>
        <v>9.981807+2.113625i</v>
      </c>
      <c r="FN179" s="1">
        <f t="shared" si="47"/>
        <v>35</v>
      </c>
      <c r="FO179" s="1">
        <f t="shared" si="48"/>
        <v>10.2031309717103</v>
      </c>
    </row>
    <row r="180" spans="2:171" ht="18" customHeight="1" x14ac:dyDescent="0.35">
      <c r="B180" s="6"/>
      <c r="AP180" s="8"/>
      <c r="AR180" s="6"/>
      <c r="BA180" s="35" t="s">
        <v>196</v>
      </c>
      <c r="BB180" s="1" t="s">
        <v>197</v>
      </c>
      <c r="CF180" s="8"/>
      <c r="DS180" s="1" t="s">
        <v>11</v>
      </c>
      <c r="FC180" s="1">
        <f t="shared" si="44"/>
        <v>35.200000000000003</v>
      </c>
      <c r="FD180" s="12" t="str">
        <f t="shared" si="35"/>
        <v>0.0001-0.736273i</v>
      </c>
      <c r="FE180" s="13" t="str">
        <f t="shared" si="36"/>
        <v>0.000001-0.030678i</v>
      </c>
      <c r="FF180" s="13" t="str">
        <f t="shared" si="37"/>
        <v>0.010799+38.011331i</v>
      </c>
      <c r="FG180" s="14" t="str">
        <f t="shared" si="38"/>
        <v>10.798674+0.0001i</v>
      </c>
      <c r="FI180" s="1" t="str">
        <f t="shared" si="39"/>
        <v>0.0108+37.980653i</v>
      </c>
      <c r="FJ180" s="1" t="str">
        <f t="shared" si="40"/>
        <v>0.112828+410.140691i</v>
      </c>
      <c r="FK180" s="1" t="str">
        <f t="shared" si="41"/>
        <v>10.809474+37.980753i</v>
      </c>
      <c r="FL180" s="1" t="str">
        <f t="shared" si="42"/>
        <v>9.990284+2.840304i</v>
      </c>
      <c r="FM180" s="1" t="str">
        <f t="shared" si="43"/>
        <v>9.990384+2.104031i</v>
      </c>
      <c r="FN180" s="1">
        <f t="shared" si="47"/>
        <v>35.200000000000003</v>
      </c>
      <c r="FO180" s="1">
        <f t="shared" si="48"/>
        <v>10.209540583024145</v>
      </c>
    </row>
    <row r="181" spans="2:171" ht="18" customHeight="1" x14ac:dyDescent="0.25">
      <c r="B181" s="6"/>
      <c r="AP181" s="8"/>
      <c r="AR181" s="6"/>
      <c r="CF181" s="8"/>
      <c r="FC181" s="1">
        <f t="shared" si="44"/>
        <v>35.4</v>
      </c>
      <c r="FD181" s="12" t="str">
        <f t="shared" si="35"/>
        <v>0.0001-0.732113i</v>
      </c>
      <c r="FE181" s="13" t="str">
        <f t="shared" si="36"/>
        <v>0.000001-0.030505i</v>
      </c>
      <c r="FF181" s="13" t="str">
        <f t="shared" si="37"/>
        <v>0.010799+38.227305i</v>
      </c>
      <c r="FG181" s="14" t="str">
        <f t="shared" si="38"/>
        <v>10.798674+0.0001i</v>
      </c>
      <c r="FI181" s="1" t="str">
        <f t="shared" si="39"/>
        <v>0.0108+38.1968i</v>
      </c>
      <c r="FJ181" s="1" t="str">
        <f t="shared" si="40"/>
        <v>0.112806+412.474792i</v>
      </c>
      <c r="FK181" s="1" t="str">
        <f t="shared" si="41"/>
        <v>10.809474+38.1969i</v>
      </c>
      <c r="FL181" s="1" t="str">
        <f t="shared" si="42"/>
        <v>9.99873+2.826622i</v>
      </c>
      <c r="FM181" s="1" t="str">
        <f t="shared" si="43"/>
        <v>9.99883+2.094509i</v>
      </c>
      <c r="FN181" s="1">
        <f t="shared" si="47"/>
        <v>35.4</v>
      </c>
      <c r="FO181" s="1">
        <f t="shared" si="48"/>
        <v>10.215848928012834</v>
      </c>
    </row>
    <row r="182" spans="2:171" ht="18" customHeight="1" x14ac:dyDescent="0.25">
      <c r="B182" s="6"/>
      <c r="AP182" s="8"/>
      <c r="AR182" s="6"/>
      <c r="AS182" s="92" t="s">
        <v>306</v>
      </c>
      <c r="AT182" s="93"/>
      <c r="AU182" s="93"/>
      <c r="AV182" s="93"/>
      <c r="AW182" s="93"/>
      <c r="AX182" s="93"/>
      <c r="AY182" s="93"/>
      <c r="AZ182" s="93"/>
      <c r="BA182" s="93"/>
      <c r="BB182" s="93"/>
      <c r="BC182" s="93"/>
      <c r="BD182" s="93"/>
      <c r="BE182" s="93"/>
      <c r="BF182" s="93"/>
      <c r="BG182" s="93"/>
      <c r="BH182" s="93"/>
      <c r="BI182" s="93"/>
      <c r="BJ182" s="93"/>
      <c r="BK182" s="93"/>
      <c r="BL182" s="93"/>
      <c r="BM182" s="93"/>
      <c r="BN182" s="93"/>
      <c r="BO182" s="93"/>
      <c r="BP182" s="93"/>
      <c r="BQ182" s="93"/>
      <c r="BR182" s="93"/>
      <c r="BS182" s="93"/>
      <c r="BT182" s="93"/>
      <c r="BU182" s="93"/>
      <c r="BV182" s="93"/>
      <c r="BW182" s="93"/>
      <c r="BX182" s="93"/>
      <c r="BY182" s="93"/>
      <c r="BZ182" s="93"/>
      <c r="CA182" s="93"/>
      <c r="CB182" s="93"/>
      <c r="CC182" s="93"/>
      <c r="CD182" s="93"/>
      <c r="CE182" s="93"/>
      <c r="CF182" s="8"/>
      <c r="FC182" s="1">
        <f t="shared" si="44"/>
        <v>35.6</v>
      </c>
      <c r="FD182" s="12" t="str">
        <f t="shared" si="35"/>
        <v>0.0001-0.728i</v>
      </c>
      <c r="FE182" s="13" t="str">
        <f t="shared" si="36"/>
        <v>0.000001-0.030333i</v>
      </c>
      <c r="FF182" s="13" t="str">
        <f t="shared" si="37"/>
        <v>0.010799+38.443278i</v>
      </c>
      <c r="FG182" s="14" t="str">
        <f t="shared" si="38"/>
        <v>10.798674+0.0001i</v>
      </c>
      <c r="FI182" s="1" t="str">
        <f t="shared" si="39"/>
        <v>0.0108+38.412945i</v>
      </c>
      <c r="FJ182" s="1" t="str">
        <f t="shared" si="40"/>
        <v>0.112784+414.808872i</v>
      </c>
      <c r="FK182" s="1" t="str">
        <f t="shared" si="41"/>
        <v>10.809474+38.413045i</v>
      </c>
      <c r="FL182" s="1" t="str">
        <f t="shared" si="42"/>
        <v>10.007048+2.813058i</v>
      </c>
      <c r="FM182" s="1" t="str">
        <f t="shared" si="43"/>
        <v>10.007148+2.085058i</v>
      </c>
      <c r="FN182" s="1">
        <f t="shared" si="47"/>
        <v>35.6</v>
      </c>
      <c r="FO182" s="1">
        <f t="shared" si="48"/>
        <v>10.222058401186526</v>
      </c>
    </row>
    <row r="183" spans="2:171" ht="18" customHeight="1" x14ac:dyDescent="0.25">
      <c r="B183" s="6"/>
      <c r="AP183" s="8"/>
      <c r="AR183" s="6"/>
      <c r="AS183" s="94" t="s">
        <v>307</v>
      </c>
      <c r="AT183" s="94"/>
      <c r="AU183" s="94"/>
      <c r="AV183" s="94"/>
      <c r="AW183" s="94"/>
      <c r="AX183" s="94"/>
      <c r="AY183" s="94"/>
      <c r="AZ183" s="94"/>
      <c r="BA183" s="94"/>
      <c r="BB183" s="94"/>
      <c r="BC183" s="94"/>
      <c r="BD183" s="94"/>
      <c r="BE183" s="94"/>
      <c r="BF183" s="94"/>
      <c r="BG183" s="94"/>
      <c r="BH183" s="94"/>
      <c r="BI183" s="94"/>
      <c r="BJ183" s="94"/>
      <c r="BK183" s="94"/>
      <c r="BL183" s="94"/>
      <c r="BM183" s="94"/>
      <c r="BN183" s="94"/>
      <c r="BO183" s="94"/>
      <c r="BP183" s="94"/>
      <c r="BQ183" s="94"/>
      <c r="BR183" s="94"/>
      <c r="BS183" s="94"/>
      <c r="BT183" s="94"/>
      <c r="BU183" s="94"/>
      <c r="BV183" s="94"/>
      <c r="BW183" s="94"/>
      <c r="BX183" s="94"/>
      <c r="BY183" s="94"/>
      <c r="BZ183" s="94"/>
      <c r="CA183" s="94"/>
      <c r="CB183" s="94"/>
      <c r="CC183" s="94"/>
      <c r="CD183" s="94"/>
      <c r="CE183" s="94"/>
      <c r="CF183" s="8"/>
      <c r="FC183" s="1">
        <f t="shared" si="44"/>
        <v>35.799999999999997</v>
      </c>
      <c r="FD183" s="12" t="str">
        <f t="shared" si="35"/>
        <v>0.0001-0.723933i</v>
      </c>
      <c r="FE183" s="13" t="str">
        <f t="shared" si="36"/>
        <v>0.000001-0.030164i</v>
      </c>
      <c r="FF183" s="13" t="str">
        <f t="shared" si="37"/>
        <v>0.010799+38.659252i</v>
      </c>
      <c r="FG183" s="14" t="str">
        <f t="shared" si="38"/>
        <v>10.798674+0.0001i</v>
      </c>
      <c r="FI183" s="1" t="str">
        <f t="shared" si="39"/>
        <v>0.0108+38.629088i</v>
      </c>
      <c r="FJ183" s="1" t="str">
        <f t="shared" si="40"/>
        <v>0.112763+417.142929i</v>
      </c>
      <c r="FK183" s="1" t="str">
        <f t="shared" si="41"/>
        <v>10.809474+38.629188i</v>
      </c>
      <c r="FL183" s="1" t="str">
        <f t="shared" si="42"/>
        <v>10.01524+2.799611i</v>
      </c>
      <c r="FM183" s="1" t="str">
        <f t="shared" si="43"/>
        <v>10.01534+2.075678i</v>
      </c>
      <c r="FN183" s="1">
        <f t="shared" si="47"/>
        <v>35.799999999999997</v>
      </c>
      <c r="FO183" s="1">
        <f t="shared" si="48"/>
        <v>10.228170631901094</v>
      </c>
    </row>
    <row r="184" spans="2:171" ht="18" customHeight="1" x14ac:dyDescent="0.25">
      <c r="B184" s="6"/>
      <c r="AP184" s="8"/>
      <c r="AR184" s="6"/>
      <c r="AS184" s="94"/>
      <c r="AT184" s="94"/>
      <c r="AU184" s="94"/>
      <c r="AV184" s="94"/>
      <c r="AW184" s="94"/>
      <c r="AX184" s="94"/>
      <c r="AY184" s="94"/>
      <c r="AZ184" s="94"/>
      <c r="BA184" s="94"/>
      <c r="BB184" s="94"/>
      <c r="BC184" s="94"/>
      <c r="BD184" s="94"/>
      <c r="BE184" s="94"/>
      <c r="BF184" s="94"/>
      <c r="BG184" s="94"/>
      <c r="BH184" s="94"/>
      <c r="BI184" s="94"/>
      <c r="BJ184" s="94"/>
      <c r="BK184" s="94"/>
      <c r="BL184" s="94"/>
      <c r="BM184" s="94"/>
      <c r="BN184" s="94"/>
      <c r="BO184" s="94"/>
      <c r="BP184" s="94"/>
      <c r="BQ184" s="94"/>
      <c r="BR184" s="94"/>
      <c r="BS184" s="94"/>
      <c r="BT184" s="94"/>
      <c r="BU184" s="94"/>
      <c r="BV184" s="94"/>
      <c r="BW184" s="94"/>
      <c r="BX184" s="94"/>
      <c r="BY184" s="94"/>
      <c r="BZ184" s="94"/>
      <c r="CA184" s="94"/>
      <c r="CB184" s="94"/>
      <c r="CC184" s="94"/>
      <c r="CD184" s="94"/>
      <c r="CE184" s="94"/>
      <c r="CF184" s="8"/>
      <c r="FC184" s="1">
        <f t="shared" si="44"/>
        <v>36</v>
      </c>
      <c r="FD184" s="12" t="str">
        <f t="shared" si="35"/>
        <v>0.0001-0.719912i</v>
      </c>
      <c r="FE184" s="13" t="str">
        <f t="shared" si="36"/>
        <v>0.000001-0.029996i</v>
      </c>
      <c r="FF184" s="13" t="str">
        <f t="shared" si="37"/>
        <v>0.010799+38.875225i</v>
      </c>
      <c r="FG184" s="14" t="str">
        <f t="shared" si="38"/>
        <v>10.798674+0.0001i</v>
      </c>
      <c r="FI184" s="1" t="str">
        <f t="shared" si="39"/>
        <v>0.0108+38.845229i</v>
      </c>
      <c r="FJ184" s="1" t="str">
        <f t="shared" si="40"/>
        <v>0.112741+419.476966i</v>
      </c>
      <c r="FK184" s="1" t="str">
        <f t="shared" si="41"/>
        <v>10.809474+38.845329i</v>
      </c>
      <c r="FL184" s="1" t="str">
        <f t="shared" si="42"/>
        <v>10.023309+2.78628i</v>
      </c>
      <c r="FM184" s="1" t="str">
        <f t="shared" si="43"/>
        <v>10.023409+2.066368i</v>
      </c>
      <c r="FN184" s="1">
        <f t="shared" si="47"/>
        <v>36</v>
      </c>
      <c r="FO184" s="1">
        <f t="shared" si="48"/>
        <v>10.234188032897627</v>
      </c>
    </row>
    <row r="185" spans="2:171" ht="18" customHeight="1" x14ac:dyDescent="0.25">
      <c r="B185" s="6"/>
      <c r="AP185" s="8"/>
      <c r="AR185" s="6"/>
      <c r="AS185" s="94"/>
      <c r="AT185" s="94"/>
      <c r="AU185" s="94"/>
      <c r="AV185" s="94"/>
      <c r="AW185" s="94"/>
      <c r="AX185" s="94"/>
      <c r="AY185" s="94"/>
      <c r="AZ185" s="94"/>
      <c r="BA185" s="94"/>
      <c r="BB185" s="94"/>
      <c r="BC185" s="94"/>
      <c r="BD185" s="94"/>
      <c r="BE185" s="94"/>
      <c r="BF185" s="94"/>
      <c r="BG185" s="94"/>
      <c r="BH185" s="94"/>
      <c r="BI185" s="94"/>
      <c r="BJ185" s="94"/>
      <c r="BK185" s="94"/>
      <c r="BL185" s="94"/>
      <c r="BM185" s="94"/>
      <c r="BN185" s="94"/>
      <c r="BO185" s="94"/>
      <c r="BP185" s="94"/>
      <c r="BQ185" s="94"/>
      <c r="BR185" s="94"/>
      <c r="BS185" s="94"/>
      <c r="BT185" s="94"/>
      <c r="BU185" s="94"/>
      <c r="BV185" s="94"/>
      <c r="BW185" s="94"/>
      <c r="BX185" s="94"/>
      <c r="BY185" s="94"/>
      <c r="BZ185" s="94"/>
      <c r="CA185" s="94"/>
      <c r="CB185" s="94"/>
      <c r="CC185" s="94"/>
      <c r="CD185" s="94"/>
      <c r="CE185" s="94"/>
      <c r="CF185" s="8"/>
      <c r="FC185" s="1">
        <f t="shared" si="44"/>
        <v>36.200000000000003</v>
      </c>
      <c r="FD185" s="12" t="str">
        <f t="shared" si="35"/>
        <v>0.0001-0.715934i</v>
      </c>
      <c r="FE185" s="13" t="str">
        <f t="shared" si="36"/>
        <v>0.000001-0.029831i</v>
      </c>
      <c r="FF185" s="13" t="str">
        <f t="shared" si="37"/>
        <v>0.010799+39.091198i</v>
      </c>
      <c r="FG185" s="14" t="str">
        <f t="shared" si="38"/>
        <v>10.798674+0.0001i</v>
      </c>
      <c r="FI185" s="1" t="str">
        <f t="shared" si="39"/>
        <v>0.0108+39.061367i</v>
      </c>
      <c r="FJ185" s="1" t="str">
        <f t="shared" si="40"/>
        <v>0.11272+421.810969i</v>
      </c>
      <c r="FK185" s="1" t="str">
        <f t="shared" si="41"/>
        <v>10.809474+39.061467i</v>
      </c>
      <c r="FL185" s="1" t="str">
        <f t="shared" si="42"/>
        <v>10.031257+2.773063i</v>
      </c>
      <c r="FM185" s="1" t="str">
        <f t="shared" si="43"/>
        <v>10.031357+2.057129i</v>
      </c>
      <c r="FN185" s="1">
        <f t="shared" si="47"/>
        <v>36.200000000000003</v>
      </c>
      <c r="FO185" s="1">
        <f t="shared" si="48"/>
        <v>10.240112449777589</v>
      </c>
    </row>
    <row r="186" spans="2:171" ht="18" customHeight="1" x14ac:dyDescent="0.25">
      <c r="B186" s="6"/>
      <c r="C186" s="90" t="s">
        <v>261</v>
      </c>
      <c r="D186" s="90"/>
      <c r="E186" s="90"/>
      <c r="F186" s="90"/>
      <c r="G186" s="90"/>
      <c r="H186" s="90"/>
      <c r="I186" s="90"/>
      <c r="J186" s="90"/>
      <c r="K186" s="90"/>
      <c r="L186" s="90"/>
      <c r="AP186" s="8"/>
      <c r="AR186" s="6"/>
      <c r="AS186" s="94"/>
      <c r="AT186" s="94"/>
      <c r="AU186" s="94"/>
      <c r="AV186" s="94"/>
      <c r="AW186" s="94"/>
      <c r="AX186" s="94"/>
      <c r="AY186" s="94"/>
      <c r="AZ186" s="94"/>
      <c r="BA186" s="94"/>
      <c r="BB186" s="94"/>
      <c r="BC186" s="94"/>
      <c r="BD186" s="94"/>
      <c r="BE186" s="94"/>
      <c r="BF186" s="94"/>
      <c r="BG186" s="94"/>
      <c r="BH186" s="94"/>
      <c r="BI186" s="94"/>
      <c r="BJ186" s="94"/>
      <c r="BK186" s="94"/>
      <c r="BL186" s="94"/>
      <c r="BM186" s="94"/>
      <c r="BN186" s="94"/>
      <c r="BO186" s="94"/>
      <c r="BP186" s="94"/>
      <c r="BQ186" s="94"/>
      <c r="BR186" s="94"/>
      <c r="BS186" s="94"/>
      <c r="BT186" s="94"/>
      <c r="BU186" s="94"/>
      <c r="BV186" s="94"/>
      <c r="BW186" s="94"/>
      <c r="BX186" s="94"/>
      <c r="BY186" s="94"/>
      <c r="BZ186" s="94"/>
      <c r="CA186" s="94"/>
      <c r="CB186" s="94"/>
      <c r="CC186" s="94"/>
      <c r="CD186" s="94"/>
      <c r="CE186" s="94"/>
      <c r="CF186" s="8"/>
      <c r="FC186" s="1">
        <f t="shared" si="44"/>
        <v>36.4</v>
      </c>
      <c r="FD186" s="12" t="str">
        <f t="shared" si="35"/>
        <v>0.0001-0.712i</v>
      </c>
      <c r="FE186" s="13" t="str">
        <f t="shared" si="36"/>
        <v>0.000001-0.029667i</v>
      </c>
      <c r="FF186" s="13" t="str">
        <f t="shared" si="37"/>
        <v>0.010799+39.307172i</v>
      </c>
      <c r="FG186" s="14" t="str">
        <f t="shared" si="38"/>
        <v>10.798674+0.0001i</v>
      </c>
      <c r="FI186" s="1" t="str">
        <f t="shared" si="39"/>
        <v>0.0108+39.277505i</v>
      </c>
      <c r="FJ186" s="1" t="str">
        <f t="shared" si="40"/>
        <v>0.112698+424.144973i</v>
      </c>
      <c r="FK186" s="1" t="str">
        <f t="shared" si="41"/>
        <v>10.809474+39.277605i</v>
      </c>
      <c r="FL186" s="1" t="str">
        <f t="shared" si="42"/>
        <v>10.039087+2.759958i</v>
      </c>
      <c r="FM186" s="1" t="str">
        <f t="shared" si="43"/>
        <v>10.039187+2.047958i</v>
      </c>
      <c r="FN186" s="1">
        <f t="shared" si="47"/>
        <v>36.4</v>
      </c>
      <c r="FO186" s="1">
        <f t="shared" si="48"/>
        <v>10.245945910004258</v>
      </c>
    </row>
    <row r="187" spans="2:171" ht="18" customHeight="1" x14ac:dyDescent="0.25">
      <c r="B187" s="6"/>
      <c r="C187" s="90"/>
      <c r="D187" s="90"/>
      <c r="E187" s="90"/>
      <c r="F187" s="90"/>
      <c r="G187" s="90"/>
      <c r="H187" s="90"/>
      <c r="I187" s="90"/>
      <c r="J187" s="90"/>
      <c r="K187" s="90"/>
      <c r="L187" s="90"/>
      <c r="AP187" s="8"/>
      <c r="AR187" s="6"/>
      <c r="AS187" s="94"/>
      <c r="AT187" s="94"/>
      <c r="AU187" s="94"/>
      <c r="AV187" s="94"/>
      <c r="AW187" s="94"/>
      <c r="AX187" s="94"/>
      <c r="AY187" s="94"/>
      <c r="AZ187" s="94"/>
      <c r="BA187" s="94"/>
      <c r="BB187" s="94"/>
      <c r="BC187" s="94"/>
      <c r="BD187" s="94"/>
      <c r="BE187" s="94"/>
      <c r="BF187" s="94"/>
      <c r="BG187" s="94"/>
      <c r="BH187" s="94"/>
      <c r="BI187" s="94"/>
      <c r="BJ187" s="94"/>
      <c r="BK187" s="94"/>
      <c r="BL187" s="94"/>
      <c r="BM187" s="94"/>
      <c r="BN187" s="94"/>
      <c r="BO187" s="94"/>
      <c r="BP187" s="94"/>
      <c r="BQ187" s="94"/>
      <c r="BR187" s="94"/>
      <c r="BS187" s="94"/>
      <c r="BT187" s="94"/>
      <c r="BU187" s="94"/>
      <c r="BV187" s="94"/>
      <c r="BW187" s="94"/>
      <c r="BX187" s="94"/>
      <c r="BY187" s="94"/>
      <c r="BZ187" s="94"/>
      <c r="CA187" s="94"/>
      <c r="CB187" s="94"/>
      <c r="CC187" s="94"/>
      <c r="CD187" s="94"/>
      <c r="CE187" s="94"/>
      <c r="CF187" s="8"/>
      <c r="FC187" s="1">
        <f t="shared" si="44"/>
        <v>36.6</v>
      </c>
      <c r="FD187" s="12" t="str">
        <f t="shared" si="35"/>
        <v>0.0001-0.70811i</v>
      </c>
      <c r="FE187" s="13" t="str">
        <f t="shared" si="36"/>
        <v>0.000001-0.029505i</v>
      </c>
      <c r="FF187" s="13" t="str">
        <f t="shared" si="37"/>
        <v>0.010799+39.523145i</v>
      </c>
      <c r="FG187" s="14" t="str">
        <f t="shared" si="38"/>
        <v>10.798674+0.0001i</v>
      </c>
      <c r="FI187" s="1" t="str">
        <f t="shared" si="39"/>
        <v>0.0108+39.49364i</v>
      </c>
      <c r="FJ187" s="1" t="str">
        <f t="shared" si="40"/>
        <v>0.112676+426.478945i</v>
      </c>
      <c r="FK187" s="1" t="str">
        <f t="shared" si="41"/>
        <v>10.809474+39.49374i</v>
      </c>
      <c r="FL187" s="1" t="str">
        <f t="shared" si="42"/>
        <v>10.0468+2.746966i</v>
      </c>
      <c r="FM187" s="1" t="str">
        <f t="shared" si="43"/>
        <v>10.0469+2.038856i</v>
      </c>
      <c r="FN187" s="1">
        <f t="shared" si="47"/>
        <v>36.6</v>
      </c>
      <c r="FO187" s="1">
        <f t="shared" si="48"/>
        <v>10.251689294878968</v>
      </c>
    </row>
    <row r="188" spans="2:171" ht="18" customHeight="1" x14ac:dyDescent="0.25">
      <c r="B188" s="6"/>
      <c r="C188" s="90"/>
      <c r="D188" s="90"/>
      <c r="E188" s="90"/>
      <c r="F188" s="90"/>
      <c r="G188" s="90"/>
      <c r="H188" s="90"/>
      <c r="I188" s="90"/>
      <c r="J188" s="90"/>
      <c r="K188" s="90"/>
      <c r="L188" s="90"/>
      <c r="AP188" s="8"/>
      <c r="AR188" s="6"/>
      <c r="CF188" s="8"/>
      <c r="FC188" s="1">
        <f t="shared" si="44"/>
        <v>36.799999999999997</v>
      </c>
      <c r="FD188" s="12" t="str">
        <f t="shared" si="35"/>
        <v>0.0001-0.704261i</v>
      </c>
      <c r="FE188" s="13" t="str">
        <f t="shared" si="36"/>
        <v>0.000001-0.029344i</v>
      </c>
      <c r="FF188" s="13" t="str">
        <f t="shared" si="37"/>
        <v>0.010799+39.739119i</v>
      </c>
      <c r="FG188" s="14" t="str">
        <f t="shared" si="38"/>
        <v>10.798674+0.0001i</v>
      </c>
      <c r="FI188" s="1" t="str">
        <f t="shared" si="39"/>
        <v>0.0108+39.709775i</v>
      </c>
      <c r="FJ188" s="1" t="str">
        <f t="shared" si="40"/>
        <v>0.112655+428.812916i</v>
      </c>
      <c r="FK188" s="1" t="str">
        <f t="shared" si="41"/>
        <v>10.809474+39.709875i</v>
      </c>
      <c r="FL188" s="1" t="str">
        <f t="shared" si="42"/>
        <v>10.054399+2.734083i</v>
      </c>
      <c r="FM188" s="1" t="str">
        <f t="shared" si="43"/>
        <v>10.054499+2.029822i</v>
      </c>
      <c r="FN188" s="1">
        <f t="shared" si="47"/>
        <v>36.799999999999997</v>
      </c>
      <c r="FO188" s="1">
        <f t="shared" si="48"/>
        <v>10.257345050873788</v>
      </c>
    </row>
    <row r="189" spans="2:171" ht="18" customHeight="1" x14ac:dyDescent="0.25">
      <c r="B189" s="6"/>
      <c r="AP189" s="8"/>
      <c r="AR189" s="6"/>
      <c r="CF189" s="8"/>
      <c r="FC189" s="1">
        <f t="shared" si="44"/>
        <v>37</v>
      </c>
      <c r="FD189" s="12" t="str">
        <f t="shared" si="35"/>
        <v>0.0001-0.700455i</v>
      </c>
      <c r="FE189" s="13" t="str">
        <f t="shared" si="36"/>
        <v>0.000001-0.029186i</v>
      </c>
      <c r="FF189" s="13" t="str">
        <f t="shared" si="37"/>
        <v>0.010799+39.955092i</v>
      </c>
      <c r="FG189" s="14" t="str">
        <f t="shared" si="38"/>
        <v>10.798674+0.0001i</v>
      </c>
      <c r="FI189" s="1" t="str">
        <f t="shared" si="39"/>
        <v>0.0108+39.925906i</v>
      </c>
      <c r="FJ189" s="1" t="str">
        <f t="shared" si="40"/>
        <v>0.112633+431.146844i</v>
      </c>
      <c r="FK189" s="1" t="str">
        <f t="shared" si="41"/>
        <v>10.809474+39.926006i</v>
      </c>
      <c r="FL189" s="1" t="str">
        <f t="shared" si="42"/>
        <v>10.061886+2.72131i</v>
      </c>
      <c r="FM189" s="1" t="str">
        <f t="shared" si="43"/>
        <v>10.061986+2.020855i</v>
      </c>
      <c r="FN189" s="1">
        <f t="shared" si="47"/>
        <v>37</v>
      </c>
      <c r="FO189" s="1">
        <f t="shared" si="48"/>
        <v>10.262914653996738</v>
      </c>
    </row>
    <row r="190" spans="2:171" ht="18" customHeight="1" x14ac:dyDescent="0.25">
      <c r="B190" s="6"/>
      <c r="AP190" s="8"/>
      <c r="AR190" s="6"/>
      <c r="CF190" s="8"/>
      <c r="FC190" s="1">
        <f t="shared" si="44"/>
        <v>37.200000000000003</v>
      </c>
      <c r="FD190" s="12" t="str">
        <f t="shared" si="35"/>
        <v>0.0001-0.696689i</v>
      </c>
      <c r="FE190" s="13" t="str">
        <f t="shared" si="36"/>
        <v>0.000001-0.029029i</v>
      </c>
      <c r="FF190" s="13" t="str">
        <f t="shared" si="37"/>
        <v>0.010799+40.171066i</v>
      </c>
      <c r="FG190" s="14" t="str">
        <f t="shared" si="38"/>
        <v>10.798674+0.0001i</v>
      </c>
      <c r="FI190" s="1" t="str">
        <f t="shared" si="39"/>
        <v>0.0108+40.142037i</v>
      </c>
      <c r="FJ190" s="1" t="str">
        <f t="shared" si="40"/>
        <v>0.112611+433.480772i</v>
      </c>
      <c r="FK190" s="1" t="str">
        <f t="shared" si="41"/>
        <v>10.809474+40.142137i</v>
      </c>
      <c r="FL190" s="1" t="str">
        <f t="shared" si="42"/>
        <v>10.069263+2.708646i</v>
      </c>
      <c r="FM190" s="1" t="str">
        <f t="shared" si="43"/>
        <v>10.069363+2.011957i</v>
      </c>
      <c r="FN190" s="1">
        <f t="shared" si="47"/>
        <v>37.200000000000003</v>
      </c>
      <c r="FO190" s="1">
        <f t="shared" si="48"/>
        <v>10.268400177029429</v>
      </c>
    </row>
    <row r="191" spans="2:171" ht="18" customHeight="1" x14ac:dyDescent="0.25">
      <c r="B191" s="6"/>
      <c r="AP191" s="8"/>
      <c r="AR191" s="6"/>
      <c r="CF191" s="8"/>
      <c r="FC191" s="1">
        <f t="shared" si="44"/>
        <v>37.4</v>
      </c>
      <c r="FD191" s="12" t="str">
        <f t="shared" si="35"/>
        <v>0.0001-0.692963i</v>
      </c>
      <c r="FE191" s="13" t="str">
        <f t="shared" si="36"/>
        <v>0.000001-0.028873i</v>
      </c>
      <c r="FF191" s="13" t="str">
        <f t="shared" si="37"/>
        <v>0.010799+40.387039i</v>
      </c>
      <c r="FG191" s="14" t="str">
        <f t="shared" si="38"/>
        <v>10.798674+0.0001i</v>
      </c>
      <c r="FI191" s="1" t="str">
        <f t="shared" si="39"/>
        <v>0.0108+40.358166i</v>
      </c>
      <c r="FJ191" s="1" t="str">
        <f t="shared" si="40"/>
        <v>0.11259+435.814679i</v>
      </c>
      <c r="FK191" s="1" t="str">
        <f t="shared" si="41"/>
        <v>10.809474+40.358266i</v>
      </c>
      <c r="FL191" s="1" t="str">
        <f t="shared" si="42"/>
        <v>10.076533+2.696088i</v>
      </c>
      <c r="FM191" s="1" t="str">
        <f t="shared" si="43"/>
        <v>10.076633+2.003125i</v>
      </c>
      <c r="FN191" s="1">
        <f t="shared" si="47"/>
        <v>37.4</v>
      </c>
      <c r="FO191" s="1">
        <f t="shared" si="48"/>
        <v>10.273803695920707</v>
      </c>
    </row>
    <row r="192" spans="2:171" ht="18" customHeight="1" x14ac:dyDescent="0.25">
      <c r="B192" s="6"/>
      <c r="AP192" s="8"/>
      <c r="AR192" s="6"/>
      <c r="CF192" s="8"/>
      <c r="FC192" s="1">
        <f t="shared" si="44"/>
        <v>37.6</v>
      </c>
      <c r="FD192" s="12" t="str">
        <f t="shared" si="35"/>
        <v>0.0001-0.689277i</v>
      </c>
      <c r="FE192" s="13" t="str">
        <f t="shared" si="36"/>
        <v>0.000001-0.02872i</v>
      </c>
      <c r="FF192" s="13" t="str">
        <f t="shared" si="37"/>
        <v>0.010799+40.603013i</v>
      </c>
      <c r="FG192" s="14" t="str">
        <f t="shared" si="38"/>
        <v>10.798674+0.0001i</v>
      </c>
      <c r="FI192" s="1" t="str">
        <f t="shared" si="39"/>
        <v>0.0108+40.574293i</v>
      </c>
      <c r="FJ192" s="1" t="str">
        <f t="shared" si="40"/>
        <v>0.112568+438.148564i</v>
      </c>
      <c r="FK192" s="1" t="str">
        <f t="shared" si="41"/>
        <v>10.809474+40.574393i</v>
      </c>
      <c r="FL192" s="1" t="str">
        <f t="shared" si="42"/>
        <v>10.083697+2.683636i</v>
      </c>
      <c r="FM192" s="1" t="str">
        <f t="shared" si="43"/>
        <v>10.083797+1.994359i</v>
      </c>
      <c r="FN192" s="1">
        <f t="shared" si="47"/>
        <v>37.6</v>
      </c>
      <c r="FO192" s="1">
        <f t="shared" si="48"/>
        <v>10.279125923836618</v>
      </c>
    </row>
    <row r="193" spans="2:171" ht="18" customHeight="1" x14ac:dyDescent="0.25">
      <c r="B193" s="6"/>
      <c r="AP193" s="8"/>
      <c r="AR193" s="6"/>
      <c r="CF193" s="8"/>
      <c r="FC193" s="1">
        <f t="shared" si="44"/>
        <v>37.799999999999997</v>
      </c>
      <c r="FD193" s="12" t="str">
        <f t="shared" si="35"/>
        <v>0.0001-0.68563i</v>
      </c>
      <c r="FE193" s="13" t="str">
        <f t="shared" si="36"/>
        <v>0.000001-0.028568i</v>
      </c>
      <c r="FF193" s="13" t="str">
        <f t="shared" si="37"/>
        <v>0.010799+40.818986i</v>
      </c>
      <c r="FG193" s="14" t="str">
        <f t="shared" si="38"/>
        <v>10.798674+0.0001i</v>
      </c>
      <c r="FI193" s="1" t="str">
        <f t="shared" si="39"/>
        <v>0.0108+40.790418i</v>
      </c>
      <c r="FJ193" s="1" t="str">
        <f t="shared" si="40"/>
        <v>0.112547+440.482427i</v>
      </c>
      <c r="FK193" s="1" t="str">
        <f t="shared" si="41"/>
        <v>10.809474+40.790518i</v>
      </c>
      <c r="FL193" s="1" t="str">
        <f t="shared" si="42"/>
        <v>10.090757+2.671288i</v>
      </c>
      <c r="FM193" s="1" t="str">
        <f t="shared" si="43"/>
        <v>10.090857+1.985658i</v>
      </c>
      <c r="FN193" s="1">
        <f t="shared" si="47"/>
        <v>37.799999999999997</v>
      </c>
      <c r="FO193" s="1">
        <f t="shared" si="48"/>
        <v>10.284368365991808</v>
      </c>
    </row>
    <row r="194" spans="2:171" ht="18" customHeight="1" thickBot="1" x14ac:dyDescent="0.3">
      <c r="B194" s="6"/>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1"/>
      <c r="AO194" s="10"/>
      <c r="AP194" s="8"/>
      <c r="AR194" s="6"/>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1"/>
      <c r="CE194" s="10"/>
      <c r="CF194" s="8"/>
      <c r="FC194" s="1">
        <f t="shared" si="44"/>
        <v>38</v>
      </c>
      <c r="FD194" s="12" t="str">
        <f t="shared" si="35"/>
        <v>0.0001-0.682021i</v>
      </c>
      <c r="FE194" s="13" t="str">
        <f t="shared" si="36"/>
        <v>0.000001-0.028418i</v>
      </c>
      <c r="FF194" s="13" t="str">
        <f t="shared" si="37"/>
        <v>0.010799+41.03496i</v>
      </c>
      <c r="FG194" s="14" t="str">
        <f t="shared" si="38"/>
        <v>10.798674+0.0001i</v>
      </c>
      <c r="FI194" s="1" t="str">
        <f t="shared" si="39"/>
        <v>0.0108+41.006542i</v>
      </c>
      <c r="FJ194" s="1" t="str">
        <f t="shared" si="40"/>
        <v>0.112525+442.81628i</v>
      </c>
      <c r="FK194" s="1" t="str">
        <f t="shared" si="41"/>
        <v>10.809474+41.006642i</v>
      </c>
      <c r="FL194" s="1" t="str">
        <f t="shared" si="42"/>
        <v>10.097716+2.659044i</v>
      </c>
      <c r="FM194" s="1" t="str">
        <f t="shared" si="43"/>
        <v>10.097816+1.977023i</v>
      </c>
      <c r="FN194" s="1">
        <f t="shared" si="47"/>
        <v>38</v>
      </c>
      <c r="FO194" s="1">
        <f t="shared" si="48"/>
        <v>10.289533901610168</v>
      </c>
    </row>
    <row r="195" spans="2:171" ht="18" customHeight="1" x14ac:dyDescent="0.25">
      <c r="B195" s="6"/>
      <c r="D195" s="44" t="s">
        <v>94</v>
      </c>
      <c r="AO195" s="29" t="s">
        <v>199</v>
      </c>
      <c r="AP195" s="8"/>
      <c r="AR195" s="6"/>
      <c r="AT195" s="44" t="s">
        <v>94</v>
      </c>
      <c r="CE195" s="29" t="s">
        <v>200</v>
      </c>
      <c r="CF195" s="8"/>
      <c r="FC195" s="1">
        <f t="shared" si="44"/>
        <v>38.200000000000003</v>
      </c>
      <c r="FD195" s="12" t="str">
        <f t="shared" si="35"/>
        <v>0.0001-0.678451i</v>
      </c>
      <c r="FE195" s="13" t="str">
        <f t="shared" si="36"/>
        <v>0.000001-0.028269i</v>
      </c>
      <c r="FF195" s="13" t="str">
        <f t="shared" si="37"/>
        <v>0.010799+41.250933i</v>
      </c>
      <c r="FG195" s="14" t="str">
        <f t="shared" si="38"/>
        <v>10.798674+0.0001i</v>
      </c>
      <c r="FI195" s="1" t="str">
        <f t="shared" si="39"/>
        <v>0.0108+41.222664i</v>
      </c>
      <c r="FJ195" s="1" t="str">
        <f t="shared" si="40"/>
        <v>0.112503+445.150111i</v>
      </c>
      <c r="FK195" s="1" t="str">
        <f t="shared" si="41"/>
        <v>10.809474+41.222764i</v>
      </c>
      <c r="FL195" s="1" t="str">
        <f t="shared" si="42"/>
        <v>10.104574+2.646902i</v>
      </c>
      <c r="FM195" s="1" t="str">
        <f t="shared" si="43"/>
        <v>10.104674+1.968451i</v>
      </c>
      <c r="FN195" s="1">
        <f t="shared" si="47"/>
        <v>38.200000000000003</v>
      </c>
      <c r="FO195" s="1">
        <f t="shared" si="48"/>
        <v>10.294621701921686</v>
      </c>
    </row>
    <row r="196" spans="2:171" ht="18" customHeight="1" x14ac:dyDescent="0.25">
      <c r="B196" s="46"/>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8"/>
      <c r="AR196" s="46"/>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8"/>
      <c r="FC196" s="1">
        <f t="shared" si="44"/>
        <v>38.4</v>
      </c>
      <c r="FD196" s="12" t="str">
        <f t="shared" si="35"/>
        <v>0.0001-0.674917i</v>
      </c>
      <c r="FE196" s="13" t="str">
        <f t="shared" si="36"/>
        <v>0.000001-0.028122i</v>
      </c>
      <c r="FF196" s="13" t="str">
        <f t="shared" si="37"/>
        <v>0.010799+41.466907i</v>
      </c>
      <c r="FG196" s="14" t="str">
        <f t="shared" si="38"/>
        <v>10.798674+0.0001i</v>
      </c>
      <c r="FI196" s="1" t="str">
        <f t="shared" si="39"/>
        <v>0.0108+41.438785i</v>
      </c>
      <c r="FJ196" s="1" t="str">
        <f t="shared" si="40"/>
        <v>0.112482+447.483931i</v>
      </c>
      <c r="FK196" s="1" t="str">
        <f t="shared" si="41"/>
        <v>10.809474+41.438885i</v>
      </c>
      <c r="FL196" s="1" t="str">
        <f t="shared" si="42"/>
        <v>10.111335+2.634862i</v>
      </c>
      <c r="FM196" s="1" t="str">
        <f t="shared" si="43"/>
        <v>10.111435+1.959945i</v>
      </c>
      <c r="FN196" s="1">
        <f t="shared" si="47"/>
        <v>38.4</v>
      </c>
      <c r="FO196" s="1">
        <f t="shared" si="48"/>
        <v>10.299636020862581</v>
      </c>
    </row>
    <row r="197" spans="2:171" ht="18" customHeight="1" x14ac:dyDescent="0.25">
      <c r="FC197" s="1">
        <f t="shared" si="44"/>
        <v>38.6</v>
      </c>
      <c r="FD197" s="12" t="str">
        <f t="shared" si="35"/>
        <v>0.0001-0.67142i</v>
      </c>
      <c r="FE197" s="13" t="str">
        <f t="shared" si="36"/>
        <v>0.000001-0.027976i</v>
      </c>
      <c r="FF197" s="13" t="str">
        <f t="shared" si="37"/>
        <v>0.010799+41.68288i</v>
      </c>
      <c r="FG197" s="14" t="str">
        <f t="shared" si="38"/>
        <v>10.798674+0.0001i</v>
      </c>
      <c r="FI197" s="1" t="str">
        <f t="shared" si="39"/>
        <v>0.0108+41.654904i</v>
      </c>
      <c r="FJ197" s="1" t="str">
        <f t="shared" si="40"/>
        <v>0.11246+449.81773i</v>
      </c>
      <c r="FK197" s="1" t="str">
        <f t="shared" si="41"/>
        <v>10.809474+41.655004i</v>
      </c>
      <c r="FL197" s="1" t="str">
        <f t="shared" si="42"/>
        <v>10.118+2.622921i</v>
      </c>
      <c r="FM197" s="1" t="str">
        <f t="shared" si="43"/>
        <v>10.1181+1.951501i</v>
      </c>
      <c r="FN197" s="1">
        <f t="shared" si="47"/>
        <v>38.6</v>
      </c>
      <c r="FO197" s="1">
        <f t="shared" si="48"/>
        <v>10.304576835707568</v>
      </c>
    </row>
    <row r="198" spans="2:171" ht="18" customHeight="1" x14ac:dyDescent="0.25">
      <c r="FC198" s="1">
        <f t="shared" si="44"/>
        <v>38.799999999999997</v>
      </c>
      <c r="FD198" s="12" t="str">
        <f t="shared" ref="FD198:FD254" si="49">COMPLEX(ROUND(0.0001,6),ROUND(-$AJ$30/FC198,6))</f>
        <v>0.0001-0.667959i</v>
      </c>
      <c r="FE198" s="13" t="str">
        <f t="shared" ref="FE198:FE254" si="50">COMPLEX(ROUND(0.000001,6),ROUND(-$AJ$36/FC198,6))</f>
        <v>0.000001-0.027832i</v>
      </c>
      <c r="FF198" s="13" t="str">
        <f t="shared" ref="FF198:FF254" si="51">COMPLEX(ROUND($AJ$39/$S$39,6),ROUND($AJ$39*FC198,6))</f>
        <v>0.010799+41.898854i</v>
      </c>
      <c r="FG198" s="14" t="str">
        <f t="shared" ref="FG198:FG254" si="52">COMPLEX(ROUND($AJ$45,6),ROUND(0.0001,6))</f>
        <v>10.798674+0.0001i</v>
      </c>
      <c r="FI198" s="1" t="str">
        <f t="shared" ref="FI198:FI254" si="53">COMPLEX(ROUND(IMREAL(IMSUM(FF198,FE198)),6),ROUND(IMAGINARY(IMSUM(FF198,FE198)),6))</f>
        <v>0.0108+41.871022i</v>
      </c>
      <c r="FJ198" s="1" t="str">
        <f t="shared" ref="FJ198:FJ254" si="54">COMPLEX(ROUND(IMREAL(IMPRODUCT(FI198,FG198)),6),ROUND(IMAGINARY(IMPRODUCT(FI198,FG198)),6))</f>
        <v>0.112439+452.151518i</v>
      </c>
      <c r="FK198" s="1" t="str">
        <f t="shared" ref="FK198:FK254" si="55">COMPLEX(ROUND(IMREAL(IMSUM(FG198,FI198)),6),ROUND(IMAGINARY(IMSUM(FG198,FI198)),6))</f>
        <v>10.809474+41.871122i</v>
      </c>
      <c r="FL198" s="1" t="str">
        <f t="shared" ref="FL198:FL254" si="56">COMPLEX(ROUND(IMREAL(IMDIV(FJ198,FK198)),6),ROUND(IMAGINARY(IMDIV(FJ198,FK198)),6))</f>
        <v>10.12457+2.61108i</v>
      </c>
      <c r="FM198" s="1" t="str">
        <f t="shared" ref="FM198:FM254" si="57">COMPLEX(ROUND(IMREAL(IMSUM(FL198,FD198)),6),ROUND(IMAGINARY(IMSUM(FL198,FD198)),6))</f>
        <v>10.12467+1.943121i</v>
      </c>
      <c r="FN198" s="1">
        <f t="shared" si="47"/>
        <v>38.799999999999997</v>
      </c>
      <c r="FO198" s="1">
        <f t="shared" si="48"/>
        <v>10.309445272639115</v>
      </c>
    </row>
    <row r="199" spans="2:171" x14ac:dyDescent="0.25">
      <c r="FC199" s="1">
        <f t="shared" ref="FC199:FC254" si="58">ROUND(FC198+0.2,1)</f>
        <v>39</v>
      </c>
      <c r="FD199" s="12" t="str">
        <f t="shared" si="49"/>
        <v>0.0001-0.664534i</v>
      </c>
      <c r="FE199" s="13" t="str">
        <f t="shared" si="50"/>
        <v>0.000001-0.027689i</v>
      </c>
      <c r="FF199" s="13" t="str">
        <f t="shared" si="51"/>
        <v>0.010799+42.114827i</v>
      </c>
      <c r="FG199" s="14" t="str">
        <f t="shared" si="52"/>
        <v>10.798674+0.0001i</v>
      </c>
      <c r="FI199" s="1" t="str">
        <f t="shared" si="53"/>
        <v>0.0108+42.087138i</v>
      </c>
      <c r="FJ199" s="1" t="str">
        <f t="shared" si="54"/>
        <v>0.112417+454.485284i</v>
      </c>
      <c r="FK199" s="1" t="str">
        <f t="shared" si="55"/>
        <v>10.809474+42.087238i</v>
      </c>
      <c r="FL199" s="1" t="str">
        <f t="shared" si="56"/>
        <v>10.131048+2.599336i</v>
      </c>
      <c r="FM199" s="1" t="str">
        <f t="shared" si="57"/>
        <v>10.131148+1.934802i</v>
      </c>
      <c r="FN199" s="1">
        <f t="shared" ref="FN199:FN230" si="59">FC199</f>
        <v>39</v>
      </c>
      <c r="FO199" s="1">
        <f t="shared" ref="FO199:FO230" si="60">IMABS(FM199)</f>
        <v>10.314243480600407</v>
      </c>
    </row>
    <row r="200" spans="2:171" x14ac:dyDescent="0.25">
      <c r="FC200" s="1">
        <f t="shared" si="58"/>
        <v>39.200000000000003</v>
      </c>
      <c r="FD200" s="12" t="str">
        <f t="shared" si="49"/>
        <v>0.0001-0.661143i</v>
      </c>
      <c r="FE200" s="13" t="str">
        <f t="shared" si="50"/>
        <v>0.000001-0.027548i</v>
      </c>
      <c r="FF200" s="13" t="str">
        <f t="shared" si="51"/>
        <v>0.010799+42.330801i</v>
      </c>
      <c r="FG200" s="14" t="str">
        <f t="shared" si="52"/>
        <v>10.798674+0.0001i</v>
      </c>
      <c r="FI200" s="1" t="str">
        <f t="shared" si="53"/>
        <v>0.0108+42.303253i</v>
      </c>
      <c r="FJ200" s="1" t="str">
        <f t="shared" si="54"/>
        <v>0.112395+456.819039i</v>
      </c>
      <c r="FK200" s="1" t="str">
        <f t="shared" si="55"/>
        <v>10.809474+42.303353i</v>
      </c>
      <c r="FL200" s="1" t="str">
        <f t="shared" si="56"/>
        <v>10.137435+2.587689i</v>
      </c>
      <c r="FM200" s="1" t="str">
        <f t="shared" si="57"/>
        <v>10.137535+1.926546i</v>
      </c>
      <c r="FN200" s="1">
        <f t="shared" si="59"/>
        <v>39.200000000000003</v>
      </c>
      <c r="FO200" s="1">
        <f t="shared" si="60"/>
        <v>10.318972592576307</v>
      </c>
    </row>
    <row r="201" spans="2:171" x14ac:dyDescent="0.25">
      <c r="FC201" s="1">
        <f t="shared" si="58"/>
        <v>39.4</v>
      </c>
      <c r="FD201" s="12" t="str">
        <f t="shared" si="49"/>
        <v>0.0001-0.657787i</v>
      </c>
      <c r="FE201" s="13" t="str">
        <f t="shared" si="50"/>
        <v>0.000001-0.027408i</v>
      </c>
      <c r="FF201" s="13" t="str">
        <f t="shared" si="51"/>
        <v>0.010799+42.546774i</v>
      </c>
      <c r="FG201" s="14" t="str">
        <f t="shared" si="52"/>
        <v>10.798674+0.0001i</v>
      </c>
      <c r="FI201" s="1" t="str">
        <f t="shared" si="53"/>
        <v>0.0108+42.519366i</v>
      </c>
      <c r="FJ201" s="1" t="str">
        <f t="shared" si="54"/>
        <v>0.112374+459.152773i</v>
      </c>
      <c r="FK201" s="1" t="str">
        <f t="shared" si="55"/>
        <v>10.809474+42.519466i</v>
      </c>
      <c r="FL201" s="1" t="str">
        <f t="shared" si="56"/>
        <v>10.143732+2.576139i</v>
      </c>
      <c r="FM201" s="1" t="str">
        <f t="shared" si="57"/>
        <v>10.143832+1.918352i</v>
      </c>
      <c r="FN201" s="1">
        <f t="shared" si="59"/>
        <v>39.4</v>
      </c>
      <c r="FO201" s="1">
        <f t="shared" si="60"/>
        <v>10.323633180238826</v>
      </c>
    </row>
    <row r="202" spans="2:171" x14ac:dyDescent="0.25">
      <c r="FC202" s="1">
        <f t="shared" si="58"/>
        <v>39.6</v>
      </c>
      <c r="FD202" s="12" t="str">
        <f t="shared" si="49"/>
        <v>0.0001-0.654465i</v>
      </c>
      <c r="FE202" s="13" t="str">
        <f t="shared" si="50"/>
        <v>0.000001-0.027269i</v>
      </c>
      <c r="FF202" s="13" t="str">
        <f t="shared" si="51"/>
        <v>0.010799+42.762748i</v>
      </c>
      <c r="FG202" s="14" t="str">
        <f t="shared" si="52"/>
        <v>10.798674+0.0001i</v>
      </c>
      <c r="FI202" s="1" t="str">
        <f t="shared" si="53"/>
        <v>0.0108+42.735479i</v>
      </c>
      <c r="FJ202" s="1" t="str">
        <f t="shared" si="54"/>
        <v>0.112352+461.486507i</v>
      </c>
      <c r="FK202" s="1" t="str">
        <f t="shared" si="55"/>
        <v>10.809474+42.735579i</v>
      </c>
      <c r="FL202" s="1" t="str">
        <f t="shared" si="56"/>
        <v>10.149942+2.564682i</v>
      </c>
      <c r="FM202" s="1" t="str">
        <f t="shared" si="57"/>
        <v>10.150042+1.910217i</v>
      </c>
      <c r="FN202" s="1">
        <f t="shared" si="59"/>
        <v>39.6</v>
      </c>
      <c r="FO202" s="1">
        <f t="shared" si="60"/>
        <v>10.328227417560722</v>
      </c>
    </row>
    <row r="203" spans="2:171" x14ac:dyDescent="0.25">
      <c r="FC203" s="1">
        <f t="shared" si="58"/>
        <v>39.799999999999997</v>
      </c>
      <c r="FD203" s="12" t="str">
        <f t="shared" si="49"/>
        <v>0.0001-0.651176i</v>
      </c>
      <c r="FE203" s="13" t="str">
        <f t="shared" si="50"/>
        <v>0.000001-0.027132i</v>
      </c>
      <c r="FF203" s="13" t="str">
        <f t="shared" si="51"/>
        <v>0.010799+42.978721i</v>
      </c>
      <c r="FG203" s="14" t="str">
        <f t="shared" si="52"/>
        <v>10.798674+0.0001i</v>
      </c>
      <c r="FI203" s="1" t="str">
        <f t="shared" si="53"/>
        <v>0.0108+42.951589i</v>
      </c>
      <c r="FJ203" s="1" t="str">
        <f t="shared" si="54"/>
        <v>0.112331+463.820208i</v>
      </c>
      <c r="FK203" s="1" t="str">
        <f t="shared" si="55"/>
        <v>10.809474+42.951689i</v>
      </c>
      <c r="FL203" s="1" t="str">
        <f t="shared" si="56"/>
        <v>10.156065+2.55332i</v>
      </c>
      <c r="FM203" s="1" t="str">
        <f t="shared" si="57"/>
        <v>10.156165+1.902144i</v>
      </c>
      <c r="FN203" s="1">
        <f t="shared" si="59"/>
        <v>39.799999999999997</v>
      </c>
      <c r="FO203" s="1">
        <f t="shared" si="60"/>
        <v>10.332755649097729</v>
      </c>
    </row>
    <row r="204" spans="2:171" x14ac:dyDescent="0.25">
      <c r="FC204" s="1">
        <f t="shared" si="58"/>
        <v>40</v>
      </c>
      <c r="FD204" s="12" t="str">
        <f t="shared" si="49"/>
        <v>0.0001-0.64792i</v>
      </c>
      <c r="FE204" s="13" t="str">
        <f t="shared" si="50"/>
        <v>0.000001-0.026997i</v>
      </c>
      <c r="FF204" s="13" t="str">
        <f t="shared" si="51"/>
        <v>0.010799+43.194694i</v>
      </c>
      <c r="FG204" s="14" t="str">
        <f t="shared" si="52"/>
        <v>10.798674+0.0001i</v>
      </c>
      <c r="FI204" s="1" t="str">
        <f t="shared" si="53"/>
        <v>0.0108+43.167697i</v>
      </c>
      <c r="FJ204" s="1" t="str">
        <f t="shared" si="54"/>
        <v>0.112309+466.153888i</v>
      </c>
      <c r="FK204" s="1" t="str">
        <f t="shared" si="55"/>
        <v>10.809474+43.167797i</v>
      </c>
      <c r="FL204" s="1" t="str">
        <f t="shared" si="56"/>
        <v>10.162105+2.54205i</v>
      </c>
      <c r="FM204" s="1" t="str">
        <f t="shared" si="57"/>
        <v>10.162205+1.89413i</v>
      </c>
      <c r="FN204" s="1">
        <f t="shared" si="59"/>
        <v>40</v>
      </c>
      <c r="FO204" s="1">
        <f t="shared" si="60"/>
        <v>10.337221044309976</v>
      </c>
    </row>
    <row r="205" spans="2:171" x14ac:dyDescent="0.25">
      <c r="FC205" s="1">
        <f t="shared" si="58"/>
        <v>40.200000000000003</v>
      </c>
      <c r="FD205" s="12" t="str">
        <f t="shared" si="49"/>
        <v>0.0001-0.644697i</v>
      </c>
      <c r="FE205" s="13" t="str">
        <f t="shared" si="50"/>
        <v>0.000001-0.026862i</v>
      </c>
      <c r="FF205" s="13" t="str">
        <f t="shared" si="51"/>
        <v>0.010799+43.410668i</v>
      </c>
      <c r="FG205" s="14" t="str">
        <f t="shared" si="52"/>
        <v>10.798674+0.0001i</v>
      </c>
      <c r="FI205" s="1" t="str">
        <f t="shared" si="53"/>
        <v>0.0108+43.383806i</v>
      </c>
      <c r="FJ205" s="1" t="str">
        <f t="shared" si="54"/>
        <v>0.112287+468.487579i</v>
      </c>
      <c r="FK205" s="1" t="str">
        <f t="shared" si="55"/>
        <v>10.809474+43.383906i</v>
      </c>
      <c r="FL205" s="1" t="str">
        <f t="shared" si="56"/>
        <v>10.168061+2.530872i</v>
      </c>
      <c r="FM205" s="1" t="str">
        <f t="shared" si="57"/>
        <v>10.168161+1.886175i</v>
      </c>
      <c r="FN205" s="1">
        <f t="shared" si="59"/>
        <v>40.200000000000003</v>
      </c>
      <c r="FO205" s="1">
        <f t="shared" si="60"/>
        <v>10.341622418776755</v>
      </c>
    </row>
    <row r="206" spans="2:171" x14ac:dyDescent="0.25">
      <c r="FC206" s="1">
        <f t="shared" si="58"/>
        <v>40.4</v>
      </c>
      <c r="FD206" s="12" t="str">
        <f t="shared" si="49"/>
        <v>0.0001-0.641505i</v>
      </c>
      <c r="FE206" s="13" t="str">
        <f t="shared" si="50"/>
        <v>0.000001-0.026729i</v>
      </c>
      <c r="FF206" s="13" t="str">
        <f t="shared" si="51"/>
        <v>0.010799+43.626641i</v>
      </c>
      <c r="FG206" s="14" t="str">
        <f t="shared" si="52"/>
        <v>10.798674+0.0001i</v>
      </c>
      <c r="FI206" s="1" t="str">
        <f t="shared" si="53"/>
        <v>0.0108+43.599912i</v>
      </c>
      <c r="FJ206" s="1" t="str">
        <f t="shared" si="54"/>
        <v>0.112266+470.821237i</v>
      </c>
      <c r="FK206" s="1" t="str">
        <f t="shared" si="55"/>
        <v>10.809474+43.600012i</v>
      </c>
      <c r="FL206" s="1" t="str">
        <f t="shared" si="56"/>
        <v>10.173935+2.519784i</v>
      </c>
      <c r="FM206" s="1" t="str">
        <f t="shared" si="57"/>
        <v>10.174035+1.878279i</v>
      </c>
      <c r="FN206" s="1">
        <f t="shared" si="59"/>
        <v>40.4</v>
      </c>
      <c r="FO206" s="1">
        <f t="shared" si="60"/>
        <v>10.345961539802184</v>
      </c>
    </row>
    <row r="207" spans="2:171" x14ac:dyDescent="0.25">
      <c r="FC207" s="1">
        <f t="shared" si="58"/>
        <v>40.6</v>
      </c>
      <c r="FD207" s="12" t="str">
        <f t="shared" si="49"/>
        <v>0.0001-0.638345i</v>
      </c>
      <c r="FE207" s="13" t="str">
        <f t="shared" si="50"/>
        <v>0.000001-0.026598i</v>
      </c>
      <c r="FF207" s="13" t="str">
        <f t="shared" si="51"/>
        <v>0.010799+43.842615i</v>
      </c>
      <c r="FG207" s="14" t="str">
        <f t="shared" si="52"/>
        <v>10.798674+0.0001i</v>
      </c>
      <c r="FI207" s="1" t="str">
        <f t="shared" si="53"/>
        <v>0.0108+43.816017i</v>
      </c>
      <c r="FJ207" s="1" t="str">
        <f t="shared" si="54"/>
        <v>0.112244+473.154885i</v>
      </c>
      <c r="FK207" s="1" t="str">
        <f t="shared" si="55"/>
        <v>10.809474+43.816117i</v>
      </c>
      <c r="FL207" s="1" t="str">
        <f t="shared" si="56"/>
        <v>10.17973+2.508786i</v>
      </c>
      <c r="FM207" s="1" t="str">
        <f t="shared" si="57"/>
        <v>10.17983+1.870441i</v>
      </c>
      <c r="FN207" s="1">
        <f t="shared" si="59"/>
        <v>40.6</v>
      </c>
      <c r="FO207" s="1">
        <f t="shared" si="60"/>
        <v>10.350240980932812</v>
      </c>
    </row>
    <row r="208" spans="2:171" x14ac:dyDescent="0.25">
      <c r="FC208" s="1">
        <f t="shared" si="58"/>
        <v>40.799999999999997</v>
      </c>
      <c r="FD208" s="12" t="str">
        <f t="shared" si="49"/>
        <v>0.0001-0.635216i</v>
      </c>
      <c r="FE208" s="13" t="str">
        <f t="shared" si="50"/>
        <v>0.000001-0.026467i</v>
      </c>
      <c r="FF208" s="13" t="str">
        <f t="shared" si="51"/>
        <v>0.010799+44.058588i</v>
      </c>
      <c r="FG208" s="14" t="str">
        <f t="shared" si="52"/>
        <v>10.798674+0.0001i</v>
      </c>
      <c r="FI208" s="1" t="str">
        <f t="shared" si="53"/>
        <v>0.0108+44.032121i</v>
      </c>
      <c r="FJ208" s="1" t="str">
        <f t="shared" si="54"/>
        <v>0.112222+475.488521i</v>
      </c>
      <c r="FK208" s="1" t="str">
        <f t="shared" si="55"/>
        <v>10.809474+44.032221i</v>
      </c>
      <c r="FL208" s="1" t="str">
        <f t="shared" si="56"/>
        <v>10.185445+2.497877i</v>
      </c>
      <c r="FM208" s="1" t="str">
        <f t="shared" si="57"/>
        <v>10.185545+1.862661i</v>
      </c>
      <c r="FN208" s="1">
        <f t="shared" si="59"/>
        <v>40.799999999999997</v>
      </c>
      <c r="FO208" s="1">
        <f t="shared" si="60"/>
        <v>10.354459568125511</v>
      </c>
    </row>
    <row r="209" spans="159:171" x14ac:dyDescent="0.25">
      <c r="FC209" s="1">
        <f t="shared" si="58"/>
        <v>41</v>
      </c>
      <c r="FD209" s="12" t="str">
        <f t="shared" si="49"/>
        <v>0.0001-0.632117i</v>
      </c>
      <c r="FE209" s="13" t="str">
        <f t="shared" si="50"/>
        <v>0.000001-0.026338i</v>
      </c>
      <c r="FF209" s="13" t="str">
        <f t="shared" si="51"/>
        <v>0.010799+44.274562i</v>
      </c>
      <c r="FG209" s="14" t="str">
        <f t="shared" si="52"/>
        <v>10.798674+0.0001i</v>
      </c>
      <c r="FI209" s="1" t="str">
        <f t="shared" si="53"/>
        <v>0.0108+44.248224i</v>
      </c>
      <c r="FJ209" s="1" t="str">
        <f t="shared" si="54"/>
        <v>0.112201+477.822147i</v>
      </c>
      <c r="FK209" s="1" t="str">
        <f t="shared" si="55"/>
        <v>10.809474+44.248324i</v>
      </c>
      <c r="FL209" s="1" t="str">
        <f t="shared" si="56"/>
        <v>10.191084+2.487056i</v>
      </c>
      <c r="FM209" s="1" t="str">
        <f t="shared" si="57"/>
        <v>10.191184+1.854939i</v>
      </c>
      <c r="FN209" s="1">
        <f t="shared" si="59"/>
        <v>41</v>
      </c>
      <c r="FO209" s="1">
        <f t="shared" si="60"/>
        <v>10.358621047976269</v>
      </c>
    </row>
    <row r="210" spans="159:171" x14ac:dyDescent="0.25">
      <c r="FC210" s="1">
        <f t="shared" si="58"/>
        <v>41.2</v>
      </c>
      <c r="FD210" s="12" t="str">
        <f t="shared" si="49"/>
        <v>0.0001-0.629049i</v>
      </c>
      <c r="FE210" s="13" t="str">
        <f t="shared" si="50"/>
        <v>0.000001-0.02621i</v>
      </c>
      <c r="FF210" s="13" t="str">
        <f t="shared" si="51"/>
        <v>0.010799+44.490535i</v>
      </c>
      <c r="FG210" s="14" t="str">
        <f t="shared" si="52"/>
        <v>10.798674+0.0001i</v>
      </c>
      <c r="FI210" s="1" t="str">
        <f t="shared" si="53"/>
        <v>0.0108+44.464325i</v>
      </c>
      <c r="FJ210" s="1" t="str">
        <f t="shared" si="54"/>
        <v>0.112179+480.155751i</v>
      </c>
      <c r="FK210" s="1" t="str">
        <f t="shared" si="55"/>
        <v>10.809474+44.464425i</v>
      </c>
      <c r="FL210" s="1" t="str">
        <f t="shared" si="56"/>
        <v>10.196646+2.476321i</v>
      </c>
      <c r="FM210" s="1" t="str">
        <f t="shared" si="57"/>
        <v>10.196746+1.847272i</v>
      </c>
      <c r="FN210" s="1">
        <f t="shared" si="59"/>
        <v>41.2</v>
      </c>
      <c r="FO210" s="1">
        <f t="shared" si="60"/>
        <v>10.362723716788942</v>
      </c>
    </row>
    <row r="211" spans="159:171" x14ac:dyDescent="0.25">
      <c r="FC211" s="1">
        <f t="shared" si="58"/>
        <v>41.4</v>
      </c>
      <c r="FD211" s="12" t="str">
        <f t="shared" si="49"/>
        <v>0.0001-0.62601i</v>
      </c>
      <c r="FE211" s="13" t="str">
        <f t="shared" si="50"/>
        <v>0.000001-0.026084i</v>
      </c>
      <c r="FF211" s="13" t="str">
        <f t="shared" si="51"/>
        <v>0.010799+44.706509i</v>
      </c>
      <c r="FG211" s="14" t="str">
        <f t="shared" si="52"/>
        <v>10.798674+0.0001i</v>
      </c>
      <c r="FI211" s="1" t="str">
        <f t="shared" si="53"/>
        <v>0.0108+44.680425i</v>
      </c>
      <c r="FJ211" s="1" t="str">
        <f t="shared" si="54"/>
        <v>0.112158+482.489345i</v>
      </c>
      <c r="FK211" s="1" t="str">
        <f t="shared" si="55"/>
        <v>10.809474+44.680525i</v>
      </c>
      <c r="FL211" s="1" t="str">
        <f t="shared" si="56"/>
        <v>10.202134+2.465673i</v>
      </c>
      <c r="FM211" s="1" t="str">
        <f t="shared" si="57"/>
        <v>10.202234+1.839663i</v>
      </c>
      <c r="FN211" s="1">
        <f t="shared" si="59"/>
        <v>41.4</v>
      </c>
      <c r="FO211" s="1">
        <f t="shared" si="60"/>
        <v>10.366770883178861</v>
      </c>
    </row>
    <row r="212" spans="159:171" x14ac:dyDescent="0.25">
      <c r="FC212" s="1">
        <f t="shared" si="58"/>
        <v>41.6</v>
      </c>
      <c r="FD212" s="12" t="str">
        <f t="shared" si="49"/>
        <v>0.0001-0.623i</v>
      </c>
      <c r="FE212" s="13" t="str">
        <f t="shared" si="50"/>
        <v>0.000001-0.025958i</v>
      </c>
      <c r="FF212" s="13" t="str">
        <f t="shared" si="51"/>
        <v>0.010799+44.922482i</v>
      </c>
      <c r="FG212" s="14" t="str">
        <f t="shared" si="52"/>
        <v>10.798674+0.0001i</v>
      </c>
      <c r="FI212" s="1" t="str">
        <f t="shared" si="53"/>
        <v>0.0108+44.896524i</v>
      </c>
      <c r="FJ212" s="1" t="str">
        <f t="shared" si="54"/>
        <v>0.112136+484.822927i</v>
      </c>
      <c r="FK212" s="1" t="str">
        <f t="shared" si="55"/>
        <v>10.809474+44.896624i</v>
      </c>
      <c r="FL212" s="1" t="str">
        <f t="shared" si="56"/>
        <v>10.207549+2.455109i</v>
      </c>
      <c r="FM212" s="1" t="str">
        <f t="shared" si="57"/>
        <v>10.207649+1.832109i</v>
      </c>
      <c r="FN212" s="1">
        <f t="shared" si="59"/>
        <v>41.6</v>
      </c>
      <c r="FO212" s="1">
        <f t="shared" si="60"/>
        <v>10.370762821272212</v>
      </c>
    </row>
    <row r="213" spans="159:171" x14ac:dyDescent="0.25">
      <c r="FC213" s="1">
        <f t="shared" si="58"/>
        <v>41.8</v>
      </c>
      <c r="FD213" s="12" t="str">
        <f t="shared" si="49"/>
        <v>0.0001-0.62002i</v>
      </c>
      <c r="FE213" s="13" t="str">
        <f t="shared" si="50"/>
        <v>0.000001-0.025834i</v>
      </c>
      <c r="FF213" s="13" t="str">
        <f t="shared" si="51"/>
        <v>0.010799+45.138456i</v>
      </c>
      <c r="FG213" s="14" t="str">
        <f t="shared" si="52"/>
        <v>10.798674+0.0001i</v>
      </c>
      <c r="FI213" s="1" t="str">
        <f t="shared" si="53"/>
        <v>0.0108+45.112622i</v>
      </c>
      <c r="FJ213" s="1" t="str">
        <f t="shared" si="54"/>
        <v>0.112114+487.156499i</v>
      </c>
      <c r="FK213" s="1" t="str">
        <f t="shared" si="55"/>
        <v>10.809474+45.112722i</v>
      </c>
      <c r="FL213" s="1" t="str">
        <f t="shared" si="56"/>
        <v>10.212892+2.444629i</v>
      </c>
      <c r="FM213" s="1" t="str">
        <f t="shared" si="57"/>
        <v>10.212992+1.824609i</v>
      </c>
      <c r="FN213" s="1">
        <f t="shared" si="59"/>
        <v>41.8</v>
      </c>
      <c r="FO213" s="1">
        <f t="shared" si="60"/>
        <v>10.374700168917894</v>
      </c>
    </row>
    <row r="214" spans="159:171" x14ac:dyDescent="0.25">
      <c r="FC214" s="1">
        <f t="shared" si="58"/>
        <v>42</v>
      </c>
      <c r="FD214" s="12" t="str">
        <f t="shared" si="49"/>
        <v>0.0001-0.617067i</v>
      </c>
      <c r="FE214" s="13" t="str">
        <f t="shared" si="50"/>
        <v>0.000001-0.025711i</v>
      </c>
      <c r="FF214" s="13" t="str">
        <f t="shared" si="51"/>
        <v>0.010799+45.354429i</v>
      </c>
      <c r="FG214" s="14" t="str">
        <f t="shared" si="52"/>
        <v>10.798674+0.0001i</v>
      </c>
      <c r="FI214" s="1" t="str">
        <f t="shared" si="53"/>
        <v>0.0108+45.328718i</v>
      </c>
      <c r="FJ214" s="1" t="str">
        <f t="shared" si="54"/>
        <v>0.112093+489.49005i</v>
      </c>
      <c r="FK214" s="1" t="str">
        <f t="shared" si="55"/>
        <v>10.809474+45.328818i</v>
      </c>
      <c r="FL214" s="1" t="str">
        <f t="shared" si="56"/>
        <v>10.218164+2.434232i</v>
      </c>
      <c r="FM214" s="1" t="str">
        <f t="shared" si="57"/>
        <v>10.218264+1.817165i</v>
      </c>
      <c r="FN214" s="1">
        <f t="shared" si="59"/>
        <v>42</v>
      </c>
      <c r="FO214" s="1">
        <f t="shared" si="60"/>
        <v>10.378584094707765</v>
      </c>
    </row>
    <row r="215" spans="159:171" x14ac:dyDescent="0.25">
      <c r="FC215" s="1">
        <f t="shared" si="58"/>
        <v>42.2</v>
      </c>
      <c r="FD215" s="12" t="str">
        <f t="shared" si="49"/>
        <v>0.0001-0.614143i</v>
      </c>
      <c r="FE215" s="13" t="str">
        <f t="shared" si="50"/>
        <v>0.000001-0.025589i</v>
      </c>
      <c r="FF215" s="13" t="str">
        <f t="shared" si="51"/>
        <v>0.010799+45.570403i</v>
      </c>
      <c r="FG215" s="14" t="str">
        <f t="shared" si="52"/>
        <v>10.798674+0.0001i</v>
      </c>
      <c r="FI215" s="1" t="str">
        <f t="shared" si="53"/>
        <v>0.0108+45.544814i</v>
      </c>
      <c r="FJ215" s="1" t="str">
        <f t="shared" si="54"/>
        <v>0.112071+491.8236i</v>
      </c>
      <c r="FK215" s="1" t="str">
        <f t="shared" si="55"/>
        <v>10.809474+45.544914i</v>
      </c>
      <c r="FL215" s="1" t="str">
        <f t="shared" si="56"/>
        <v>10.223366+2.423918i</v>
      </c>
      <c r="FM215" s="1" t="str">
        <f t="shared" si="57"/>
        <v>10.223466+1.809775i</v>
      </c>
      <c r="FN215" s="1">
        <f t="shared" si="59"/>
        <v>42.2</v>
      </c>
      <c r="FO215" s="1">
        <f t="shared" si="60"/>
        <v>10.382415066051877</v>
      </c>
    </row>
    <row r="216" spans="159:171" x14ac:dyDescent="0.25">
      <c r="FC216" s="1">
        <f t="shared" si="58"/>
        <v>42.4</v>
      </c>
      <c r="FD216" s="12" t="str">
        <f t="shared" si="49"/>
        <v>0.0001-0.611246i</v>
      </c>
      <c r="FE216" s="13" t="str">
        <f t="shared" si="50"/>
        <v>0.000001-0.025469i</v>
      </c>
      <c r="FF216" s="13" t="str">
        <f t="shared" si="51"/>
        <v>0.010799+45.786376i</v>
      </c>
      <c r="FG216" s="14" t="str">
        <f t="shared" si="52"/>
        <v>10.798674+0.0001i</v>
      </c>
      <c r="FI216" s="1" t="str">
        <f t="shared" si="53"/>
        <v>0.0108+45.760907i</v>
      </c>
      <c r="FJ216" s="1" t="str">
        <f t="shared" si="54"/>
        <v>0.11205+494.157118i</v>
      </c>
      <c r="FK216" s="1" t="str">
        <f t="shared" si="55"/>
        <v>10.809474+45.761007i</v>
      </c>
      <c r="FL216" s="1" t="str">
        <f t="shared" si="56"/>
        <v>10.2285+2.413685i</v>
      </c>
      <c r="FM216" s="1" t="str">
        <f t="shared" si="57"/>
        <v>10.2286+1.802439i</v>
      </c>
      <c r="FN216" s="1">
        <f t="shared" si="59"/>
        <v>42.4</v>
      </c>
      <c r="FO216" s="1">
        <f t="shared" si="60"/>
        <v>10.386194890753831</v>
      </c>
    </row>
    <row r="217" spans="159:171" x14ac:dyDescent="0.25">
      <c r="FC217" s="1">
        <f t="shared" si="58"/>
        <v>42.6</v>
      </c>
      <c r="FD217" s="12" t="str">
        <f t="shared" si="49"/>
        <v>0.0001-0.608376i</v>
      </c>
      <c r="FE217" s="13" t="str">
        <f t="shared" si="50"/>
        <v>0.000001-0.025349i</v>
      </c>
      <c r="FF217" s="13" t="str">
        <f t="shared" si="51"/>
        <v>0.010799+46.00235i</v>
      </c>
      <c r="FG217" s="14" t="str">
        <f t="shared" si="52"/>
        <v>10.798674+0.0001i</v>
      </c>
      <c r="FI217" s="1" t="str">
        <f t="shared" si="53"/>
        <v>0.0108+45.977001i</v>
      </c>
      <c r="FJ217" s="1" t="str">
        <f t="shared" si="54"/>
        <v>0.112028+496.490646i</v>
      </c>
      <c r="FK217" s="1" t="str">
        <f t="shared" si="55"/>
        <v>10.809474+45.977101i</v>
      </c>
      <c r="FL217" s="1" t="str">
        <f t="shared" si="56"/>
        <v>10.233567+2.403532i</v>
      </c>
      <c r="FM217" s="1" t="str">
        <f t="shared" si="57"/>
        <v>10.233667+1.795156i</v>
      </c>
      <c r="FN217" s="1">
        <f t="shared" si="59"/>
        <v>42.6</v>
      </c>
      <c r="FO217" s="1">
        <f t="shared" si="60"/>
        <v>10.38992422163054</v>
      </c>
    </row>
    <row r="218" spans="159:171" x14ac:dyDescent="0.25">
      <c r="FC218" s="1">
        <f t="shared" si="58"/>
        <v>42.8</v>
      </c>
      <c r="FD218" s="12" t="str">
        <f t="shared" si="49"/>
        <v>0.0001-0.605533i</v>
      </c>
      <c r="FE218" s="13" t="str">
        <f t="shared" si="50"/>
        <v>0.000001-0.025231i</v>
      </c>
      <c r="FF218" s="13" t="str">
        <f t="shared" si="51"/>
        <v>0.010799+46.218323i</v>
      </c>
      <c r="FG218" s="14" t="str">
        <f t="shared" si="52"/>
        <v>10.798674+0.0001i</v>
      </c>
      <c r="FI218" s="1" t="str">
        <f t="shared" si="53"/>
        <v>0.0108+46.193092i</v>
      </c>
      <c r="FJ218" s="1" t="str">
        <f t="shared" si="54"/>
        <v>0.112006+498.824143i</v>
      </c>
      <c r="FK218" s="1" t="str">
        <f t="shared" si="55"/>
        <v>10.809474+46.193192i</v>
      </c>
      <c r="FL218" s="1" t="str">
        <f t="shared" si="56"/>
        <v>10.238567+2.393459i</v>
      </c>
      <c r="FM218" s="1" t="str">
        <f t="shared" si="57"/>
        <v>10.238667+1.787926i</v>
      </c>
      <c r="FN218" s="1">
        <f t="shared" si="59"/>
        <v>42.8</v>
      </c>
      <c r="FO218" s="1">
        <f t="shared" si="60"/>
        <v>10.393602903630915</v>
      </c>
    </row>
    <row r="219" spans="159:171" x14ac:dyDescent="0.25">
      <c r="FC219" s="1">
        <f t="shared" si="58"/>
        <v>43</v>
      </c>
      <c r="FD219" s="12" t="str">
        <f t="shared" si="49"/>
        <v>0.0001-0.602717i</v>
      </c>
      <c r="FE219" s="13" t="str">
        <f t="shared" si="50"/>
        <v>0.000001-0.025113i</v>
      </c>
      <c r="FF219" s="13" t="str">
        <f t="shared" si="51"/>
        <v>0.010799+46.434297i</v>
      </c>
      <c r="FG219" s="14" t="str">
        <f t="shared" si="52"/>
        <v>10.798674+0.0001i</v>
      </c>
      <c r="FI219" s="1" t="str">
        <f t="shared" si="53"/>
        <v>0.0108+46.409184i</v>
      </c>
      <c r="FJ219" s="1" t="str">
        <f t="shared" si="54"/>
        <v>0.111985+501.15765i</v>
      </c>
      <c r="FK219" s="1" t="str">
        <f t="shared" si="55"/>
        <v>10.809474+46.409284i</v>
      </c>
      <c r="FL219" s="1" t="str">
        <f t="shared" si="56"/>
        <v>10.243503+2.383465i</v>
      </c>
      <c r="FM219" s="1" t="str">
        <f t="shared" si="57"/>
        <v>10.243603+1.780748i</v>
      </c>
      <c r="FN219" s="1">
        <f t="shared" si="59"/>
        <v>43</v>
      </c>
      <c r="FO219" s="1">
        <f t="shared" si="60"/>
        <v>10.397233567690639</v>
      </c>
    </row>
    <row r="220" spans="159:171" x14ac:dyDescent="0.25">
      <c r="FC220" s="1">
        <f t="shared" si="58"/>
        <v>43.2</v>
      </c>
      <c r="FD220" s="12" t="str">
        <f t="shared" si="49"/>
        <v>0.0001-0.599926i</v>
      </c>
      <c r="FE220" s="13" t="str">
        <f t="shared" si="50"/>
        <v>0.000001-0.024997i</v>
      </c>
      <c r="FF220" s="13" t="str">
        <f t="shared" si="51"/>
        <v>0.010799+46.65027i</v>
      </c>
      <c r="FG220" s="14" t="str">
        <f t="shared" si="52"/>
        <v>10.798674+0.0001i</v>
      </c>
      <c r="FI220" s="1" t="str">
        <f t="shared" si="53"/>
        <v>0.0108+46.625273i</v>
      </c>
      <c r="FJ220" s="1" t="str">
        <f t="shared" si="54"/>
        <v>0.111963+503.491124i</v>
      </c>
      <c r="FK220" s="1" t="str">
        <f t="shared" si="55"/>
        <v>10.809474+46.625373i</v>
      </c>
      <c r="FL220" s="1" t="str">
        <f t="shared" si="56"/>
        <v>10.248375+2.373548i</v>
      </c>
      <c r="FM220" s="1" t="str">
        <f t="shared" si="57"/>
        <v>10.248475+1.773622i</v>
      </c>
      <c r="FN220" s="1">
        <f t="shared" si="59"/>
        <v>43.2</v>
      </c>
      <c r="FO220" s="1">
        <f t="shared" si="60"/>
        <v>10.40081606531473</v>
      </c>
    </row>
    <row r="221" spans="159:171" x14ac:dyDescent="0.25">
      <c r="FC221" s="1">
        <f t="shared" si="58"/>
        <v>43.4</v>
      </c>
      <c r="FD221" s="12" t="str">
        <f t="shared" si="49"/>
        <v>0.0001-0.597162i</v>
      </c>
      <c r="FE221" s="13" t="str">
        <f t="shared" si="50"/>
        <v>0.000001-0.024882i</v>
      </c>
      <c r="FF221" s="13" t="str">
        <f t="shared" si="51"/>
        <v>0.010799+46.866243i</v>
      </c>
      <c r="FG221" s="14" t="str">
        <f t="shared" si="52"/>
        <v>10.798674+0.0001i</v>
      </c>
      <c r="FI221" s="1" t="str">
        <f t="shared" si="53"/>
        <v>0.0108+46.841361i</v>
      </c>
      <c r="FJ221" s="1" t="str">
        <f t="shared" si="54"/>
        <v>0.111942+505.824588i</v>
      </c>
      <c r="FK221" s="1" t="str">
        <f t="shared" si="55"/>
        <v>10.809474+46.841461i</v>
      </c>
      <c r="FL221" s="1" t="str">
        <f t="shared" si="56"/>
        <v>10.253184+2.363709i</v>
      </c>
      <c r="FM221" s="1" t="str">
        <f t="shared" si="57"/>
        <v>10.253284+1.766547i</v>
      </c>
      <c r="FN221" s="1">
        <f t="shared" si="59"/>
        <v>43.4</v>
      </c>
      <c r="FO221" s="1">
        <f t="shared" si="60"/>
        <v>10.404351065196954</v>
      </c>
    </row>
    <row r="222" spans="159:171" x14ac:dyDescent="0.25">
      <c r="FC222" s="1">
        <f t="shared" si="58"/>
        <v>43.6</v>
      </c>
      <c r="FD222" s="12" t="str">
        <f t="shared" si="49"/>
        <v>0.0001-0.594422i</v>
      </c>
      <c r="FE222" s="13" t="str">
        <f t="shared" si="50"/>
        <v>0.000001-0.024768i</v>
      </c>
      <c r="FF222" s="13" t="str">
        <f t="shared" si="51"/>
        <v>0.010799+47.082217i</v>
      </c>
      <c r="FG222" s="14" t="str">
        <f t="shared" si="52"/>
        <v>10.798674+0.0001i</v>
      </c>
      <c r="FI222" s="1" t="str">
        <f t="shared" si="53"/>
        <v>0.0108+47.057449i</v>
      </c>
      <c r="FJ222" s="1" t="str">
        <f t="shared" si="54"/>
        <v>0.11192+508.158052i</v>
      </c>
      <c r="FK222" s="1" t="str">
        <f t="shared" si="55"/>
        <v>10.809474+47.057549i</v>
      </c>
      <c r="FL222" s="1" t="str">
        <f t="shared" si="56"/>
        <v>10.257932+2.353946i</v>
      </c>
      <c r="FM222" s="1" t="str">
        <f t="shared" si="57"/>
        <v>10.258032+1.759524i</v>
      </c>
      <c r="FN222" s="1">
        <f t="shared" si="59"/>
        <v>43.6</v>
      </c>
      <c r="FO222" s="1">
        <f t="shared" si="60"/>
        <v>10.407840564670463</v>
      </c>
    </row>
    <row r="223" spans="159:171" x14ac:dyDescent="0.25">
      <c r="FC223" s="1">
        <f t="shared" si="58"/>
        <v>43.8</v>
      </c>
      <c r="FD223" s="12" t="str">
        <f t="shared" si="49"/>
        <v>0.0001-0.591708i</v>
      </c>
      <c r="FE223" s="13" t="str">
        <f t="shared" si="50"/>
        <v>0.000001-0.024655i</v>
      </c>
      <c r="FF223" s="13" t="str">
        <f t="shared" si="51"/>
        <v>0.010799+47.29819i</v>
      </c>
      <c r="FG223" s="14" t="str">
        <f t="shared" si="52"/>
        <v>10.798674+0.0001i</v>
      </c>
      <c r="FI223" s="1" t="str">
        <f t="shared" si="53"/>
        <v>0.0108+47.273535i</v>
      </c>
      <c r="FJ223" s="1" t="str">
        <f t="shared" si="54"/>
        <v>0.111898+510.491494i</v>
      </c>
      <c r="FK223" s="1" t="str">
        <f t="shared" si="55"/>
        <v>10.809474+47.273635i</v>
      </c>
      <c r="FL223" s="1" t="str">
        <f t="shared" si="56"/>
        <v>10.262619+2.344258i</v>
      </c>
      <c r="FM223" s="1" t="str">
        <f t="shared" si="57"/>
        <v>10.262719+1.75255i</v>
      </c>
      <c r="FN223" s="1">
        <f t="shared" si="59"/>
        <v>43.8</v>
      </c>
      <c r="FO223" s="1">
        <f t="shared" si="60"/>
        <v>10.411283915803132</v>
      </c>
    </row>
    <row r="224" spans="159:171" x14ac:dyDescent="0.25">
      <c r="FC224" s="1">
        <f t="shared" si="58"/>
        <v>44</v>
      </c>
      <c r="FD224" s="12" t="str">
        <f t="shared" si="49"/>
        <v>0.0001-0.589019i</v>
      </c>
      <c r="FE224" s="13" t="str">
        <f t="shared" si="50"/>
        <v>0.000001-0.024542i</v>
      </c>
      <c r="FF224" s="13" t="str">
        <f t="shared" si="51"/>
        <v>0.010799+47.514164i</v>
      </c>
      <c r="FG224" s="14" t="str">
        <f t="shared" si="52"/>
        <v>10.798674+0.0001i</v>
      </c>
      <c r="FI224" s="1" t="str">
        <f t="shared" si="53"/>
        <v>0.0108+47.489622i</v>
      </c>
      <c r="FJ224" s="1" t="str">
        <f t="shared" si="54"/>
        <v>0.111877+512.824947i</v>
      </c>
      <c r="FK224" s="1" t="str">
        <f t="shared" si="55"/>
        <v>10.809474+47.489722i</v>
      </c>
      <c r="FL224" s="1" t="str">
        <f t="shared" si="56"/>
        <v>10.267246+2.334645i</v>
      </c>
      <c r="FM224" s="1" t="str">
        <f t="shared" si="57"/>
        <v>10.267346+1.745626i</v>
      </c>
      <c r="FN224" s="1">
        <f t="shared" si="59"/>
        <v>44</v>
      </c>
      <c r="FO224" s="1">
        <f t="shared" si="60"/>
        <v>10.414682137040574</v>
      </c>
    </row>
    <row r="225" spans="159:171" x14ac:dyDescent="0.25">
      <c r="FC225" s="1">
        <f t="shared" si="58"/>
        <v>44.2</v>
      </c>
      <c r="FD225" s="12" t="str">
        <f t="shared" si="49"/>
        <v>0.0001-0.586353i</v>
      </c>
      <c r="FE225" s="13" t="str">
        <f t="shared" si="50"/>
        <v>0.000001-0.024431i</v>
      </c>
      <c r="FF225" s="13" t="str">
        <f t="shared" si="51"/>
        <v>0.010799+47.730137i</v>
      </c>
      <c r="FG225" s="14" t="str">
        <f t="shared" si="52"/>
        <v>10.798674+0.0001i</v>
      </c>
      <c r="FI225" s="1" t="str">
        <f t="shared" si="53"/>
        <v>0.0108+47.705706i</v>
      </c>
      <c r="FJ225" s="1" t="str">
        <f t="shared" si="54"/>
        <v>0.111855+515.158368i</v>
      </c>
      <c r="FK225" s="1" t="str">
        <f t="shared" si="55"/>
        <v>10.809474+47.705806i</v>
      </c>
      <c r="FL225" s="1" t="str">
        <f t="shared" si="56"/>
        <v>10.271815+2.325106i</v>
      </c>
      <c r="FM225" s="1" t="str">
        <f t="shared" si="57"/>
        <v>10.271915+1.738753i</v>
      </c>
      <c r="FN225" s="1">
        <f t="shared" si="59"/>
        <v>44.2</v>
      </c>
      <c r="FO225" s="1">
        <f t="shared" si="60"/>
        <v>10.418037231755029</v>
      </c>
    </row>
    <row r="226" spans="159:171" x14ac:dyDescent="0.25">
      <c r="FC226" s="1">
        <f t="shared" si="58"/>
        <v>44.4</v>
      </c>
      <c r="FD226" s="12" t="str">
        <f t="shared" si="49"/>
        <v>0.0001-0.583712i</v>
      </c>
      <c r="FE226" s="13" t="str">
        <f t="shared" si="50"/>
        <v>0.000001-0.024321i</v>
      </c>
      <c r="FF226" s="13" t="str">
        <f t="shared" si="51"/>
        <v>0.010799+47.946111i</v>
      </c>
      <c r="FG226" s="14" t="str">
        <f t="shared" si="52"/>
        <v>10.798674+0.0001i</v>
      </c>
      <c r="FI226" s="1" t="str">
        <f t="shared" si="53"/>
        <v>0.0108+47.92179i</v>
      </c>
      <c r="FJ226" s="1" t="str">
        <f t="shared" si="54"/>
        <v>0.111834+517.491789i</v>
      </c>
      <c r="FK226" s="1" t="str">
        <f t="shared" si="55"/>
        <v>10.809474+47.92189i</v>
      </c>
      <c r="FL226" s="1" t="str">
        <f t="shared" si="56"/>
        <v>10.276325+2.31564i</v>
      </c>
      <c r="FM226" s="1" t="str">
        <f t="shared" si="57"/>
        <v>10.276425+1.731928i</v>
      </c>
      <c r="FN226" s="1">
        <f t="shared" si="59"/>
        <v>44.4</v>
      </c>
      <c r="FO226" s="1">
        <f t="shared" si="60"/>
        <v>10.421347579742697</v>
      </c>
    </row>
    <row r="227" spans="159:171" x14ac:dyDescent="0.25">
      <c r="FC227" s="1">
        <f t="shared" si="58"/>
        <v>44.6</v>
      </c>
      <c r="FD227" s="12" t="str">
        <f t="shared" si="49"/>
        <v>0.0001-0.581095i</v>
      </c>
      <c r="FE227" s="13" t="str">
        <f t="shared" si="50"/>
        <v>0.000001-0.024212i</v>
      </c>
      <c r="FF227" s="13" t="str">
        <f t="shared" si="51"/>
        <v>0.010799+48.162084i</v>
      </c>
      <c r="FG227" s="14" t="str">
        <f t="shared" si="52"/>
        <v>10.798674+0.0001i</v>
      </c>
      <c r="FI227" s="1" t="str">
        <f t="shared" si="53"/>
        <v>0.0108+48.137872i</v>
      </c>
      <c r="FJ227" s="1" t="str">
        <f t="shared" si="54"/>
        <v>0.111812+519.825188i</v>
      </c>
      <c r="FK227" s="1" t="str">
        <f t="shared" si="55"/>
        <v>10.809474+48.137972i</v>
      </c>
      <c r="FL227" s="1" t="str">
        <f t="shared" si="56"/>
        <v>10.28078+2.306246i</v>
      </c>
      <c r="FM227" s="1" t="str">
        <f t="shared" si="57"/>
        <v>10.28088+1.725151i</v>
      </c>
      <c r="FN227" s="1">
        <f t="shared" si="59"/>
        <v>44.6</v>
      </c>
      <c r="FO227" s="1">
        <f t="shared" si="60"/>
        <v>10.424616997626387</v>
      </c>
    </row>
    <row r="228" spans="159:171" x14ac:dyDescent="0.25">
      <c r="FC228" s="1">
        <f t="shared" si="58"/>
        <v>44.8</v>
      </c>
      <c r="FD228" s="12" t="str">
        <f t="shared" si="49"/>
        <v>0.0001-0.5785i</v>
      </c>
      <c r="FE228" s="13" t="str">
        <f t="shared" si="50"/>
        <v>0.000001-0.024104i</v>
      </c>
      <c r="FF228" s="13" t="str">
        <f t="shared" si="51"/>
        <v>0.010799+48.378058i</v>
      </c>
      <c r="FG228" s="14" t="str">
        <f t="shared" si="52"/>
        <v>10.798674+0.0001i</v>
      </c>
      <c r="FI228" s="1" t="str">
        <f t="shared" si="53"/>
        <v>0.0108+48.353954i</v>
      </c>
      <c r="FJ228" s="1" t="str">
        <f t="shared" si="54"/>
        <v>0.11179+522.158587i</v>
      </c>
      <c r="FK228" s="1" t="str">
        <f t="shared" si="55"/>
        <v>10.809474+48.354054i</v>
      </c>
      <c r="FL228" s="1" t="str">
        <f t="shared" si="56"/>
        <v>10.285178+2.296924i</v>
      </c>
      <c r="FM228" s="1" t="str">
        <f t="shared" si="57"/>
        <v>10.285278+1.718424i</v>
      </c>
      <c r="FN228" s="1">
        <f t="shared" si="59"/>
        <v>44.8</v>
      </c>
      <c r="FO228" s="1">
        <f t="shared" si="60"/>
        <v>10.427843716754676</v>
      </c>
    </row>
    <row r="229" spans="159:171" x14ac:dyDescent="0.25">
      <c r="FC229" s="1">
        <f t="shared" si="58"/>
        <v>45</v>
      </c>
      <c r="FD229" s="12" t="str">
        <f t="shared" si="49"/>
        <v>0.0001-0.575929i</v>
      </c>
      <c r="FE229" s="13" t="str">
        <f t="shared" si="50"/>
        <v>0.000001-0.023997i</v>
      </c>
      <c r="FF229" s="13" t="str">
        <f t="shared" si="51"/>
        <v>0.010799+48.594031i</v>
      </c>
      <c r="FG229" s="14" t="str">
        <f t="shared" si="52"/>
        <v>10.798674+0.0001i</v>
      </c>
      <c r="FI229" s="1" t="str">
        <f t="shared" si="53"/>
        <v>0.0108+48.570034i</v>
      </c>
      <c r="FJ229" s="1" t="str">
        <f t="shared" si="54"/>
        <v>0.111769+524.491964i</v>
      </c>
      <c r="FK229" s="1" t="str">
        <f t="shared" si="55"/>
        <v>10.809474+48.570134i</v>
      </c>
      <c r="FL229" s="1" t="str">
        <f t="shared" si="56"/>
        <v>10.289521+2.287672i</v>
      </c>
      <c r="FM229" s="1" t="str">
        <f t="shared" si="57"/>
        <v>10.289621+1.711743i</v>
      </c>
      <c r="FN229" s="1">
        <f t="shared" si="59"/>
        <v>45</v>
      </c>
      <c r="FO229" s="1">
        <f t="shared" si="60"/>
        <v>10.431028924400987</v>
      </c>
    </row>
    <row r="230" spans="159:171" x14ac:dyDescent="0.25">
      <c r="FC230" s="1">
        <f t="shared" si="58"/>
        <v>45.2</v>
      </c>
      <c r="FD230" s="12" t="str">
        <f t="shared" si="49"/>
        <v>0.0001-0.573381i</v>
      </c>
      <c r="FE230" s="13" t="str">
        <f t="shared" si="50"/>
        <v>0.000001-0.023891i</v>
      </c>
      <c r="FF230" s="13" t="str">
        <f t="shared" si="51"/>
        <v>0.010799+48.810005i</v>
      </c>
      <c r="FG230" s="14" t="str">
        <f t="shared" si="52"/>
        <v>10.798674+0.0001i</v>
      </c>
      <c r="FI230" s="1" t="str">
        <f t="shared" si="53"/>
        <v>0.0108+48.786114i</v>
      </c>
      <c r="FJ230" s="1" t="str">
        <f t="shared" si="54"/>
        <v>0.111747+526.825342i</v>
      </c>
      <c r="FK230" s="1" t="str">
        <f t="shared" si="55"/>
        <v>10.809474+48.786214i</v>
      </c>
      <c r="FL230" s="1" t="str">
        <f t="shared" si="56"/>
        <v>10.293811+2.278491i</v>
      </c>
      <c r="FM230" s="1" t="str">
        <f t="shared" si="57"/>
        <v>10.293911+1.70511i</v>
      </c>
      <c r="FN230" s="1">
        <f t="shared" si="59"/>
        <v>45.2</v>
      </c>
      <c r="FO230" s="1">
        <f t="shared" si="60"/>
        <v>10.434174801488664</v>
      </c>
    </row>
    <row r="231" spans="159:171" x14ac:dyDescent="0.25">
      <c r="FC231" s="1">
        <f t="shared" si="58"/>
        <v>45.4</v>
      </c>
      <c r="FD231" s="12" t="str">
        <f t="shared" si="49"/>
        <v>0.0001-0.570855i</v>
      </c>
      <c r="FE231" s="13" t="str">
        <f t="shared" si="50"/>
        <v>0.000001-0.023786i</v>
      </c>
      <c r="FF231" s="13" t="str">
        <f t="shared" si="51"/>
        <v>0.010799+49.025978i</v>
      </c>
      <c r="FG231" s="14" t="str">
        <f t="shared" si="52"/>
        <v>10.798674+0.0001i</v>
      </c>
      <c r="FI231" s="1" t="str">
        <f t="shared" si="53"/>
        <v>0.0108+49.002192i</v>
      </c>
      <c r="FJ231" s="1" t="str">
        <f t="shared" si="54"/>
        <v>0.111725+529.158698i</v>
      </c>
      <c r="FK231" s="1" t="str">
        <f t="shared" si="55"/>
        <v>10.809474+49.002292i</v>
      </c>
      <c r="FL231" s="1" t="str">
        <f t="shared" si="56"/>
        <v>10.298047+2.269378i</v>
      </c>
      <c r="FM231" s="1" t="str">
        <f t="shared" si="57"/>
        <v>10.298147+1.698523i</v>
      </c>
      <c r="FN231" s="1">
        <f t="shared" ref="FN231:FN254" si="61">FC231</f>
        <v>45.4</v>
      </c>
      <c r="FO231" s="1">
        <f t="shared" ref="FO231:FO254" si="62">IMABS(FM231)</f>
        <v>10.437279914572475</v>
      </c>
    </row>
    <row r="232" spans="159:171" x14ac:dyDescent="0.25">
      <c r="FC232" s="1">
        <f t="shared" si="58"/>
        <v>45.6</v>
      </c>
      <c r="FD232" s="12" t="str">
        <f t="shared" si="49"/>
        <v>0.0001-0.568351i</v>
      </c>
      <c r="FE232" s="13" t="str">
        <f t="shared" si="50"/>
        <v>0.000001-0.023681i</v>
      </c>
      <c r="FF232" s="13" t="str">
        <f t="shared" si="51"/>
        <v>0.010799+49.241952i</v>
      </c>
      <c r="FG232" s="14" t="str">
        <f t="shared" si="52"/>
        <v>10.798674+0.0001i</v>
      </c>
      <c r="FI232" s="1" t="str">
        <f t="shared" si="53"/>
        <v>0.0108+49.218271i</v>
      </c>
      <c r="FJ232" s="1" t="str">
        <f t="shared" si="54"/>
        <v>0.111704+531.492064i</v>
      </c>
      <c r="FK232" s="1" t="str">
        <f t="shared" si="55"/>
        <v>10.809474+49.218371i</v>
      </c>
      <c r="FL232" s="1" t="str">
        <f t="shared" si="56"/>
        <v>10.302231+2.260335i</v>
      </c>
      <c r="FM232" s="1" t="str">
        <f t="shared" si="57"/>
        <v>10.302331+1.691984i</v>
      </c>
      <c r="FN232" s="1">
        <f t="shared" si="61"/>
        <v>45.6</v>
      </c>
      <c r="FO232" s="1">
        <f t="shared" si="62"/>
        <v>10.440346444913454</v>
      </c>
    </row>
    <row r="233" spans="159:171" x14ac:dyDescent="0.25">
      <c r="FC233" s="1">
        <f t="shared" si="58"/>
        <v>45.8</v>
      </c>
      <c r="FD233" s="12" t="str">
        <f t="shared" si="49"/>
        <v>0.0001-0.565869i</v>
      </c>
      <c r="FE233" s="13" t="str">
        <f t="shared" si="50"/>
        <v>0.000001-0.023578i</v>
      </c>
      <c r="FF233" s="13" t="str">
        <f t="shared" si="51"/>
        <v>0.010799+49.457925i</v>
      </c>
      <c r="FG233" s="14" t="str">
        <f t="shared" si="52"/>
        <v>10.798674+0.0001i</v>
      </c>
      <c r="FI233" s="1" t="str">
        <f t="shared" si="53"/>
        <v>0.0108+49.434347i</v>
      </c>
      <c r="FJ233" s="1" t="str">
        <f t="shared" si="54"/>
        <v>0.111682+533.825399i</v>
      </c>
      <c r="FK233" s="1" t="str">
        <f t="shared" si="55"/>
        <v>10.809474+49.434447i</v>
      </c>
      <c r="FL233" s="1" t="str">
        <f t="shared" si="56"/>
        <v>10.306364+2.251359i</v>
      </c>
      <c r="FM233" s="1" t="str">
        <f t="shared" si="57"/>
        <v>10.306464+1.68549i</v>
      </c>
      <c r="FN233" s="1">
        <f t="shared" si="61"/>
        <v>45.8</v>
      </c>
      <c r="FO233" s="1">
        <f t="shared" si="62"/>
        <v>10.443374776545943</v>
      </c>
    </row>
    <row r="234" spans="159:171" x14ac:dyDescent="0.25">
      <c r="FC234" s="1">
        <f t="shared" si="58"/>
        <v>46</v>
      </c>
      <c r="FD234" s="12" t="str">
        <f t="shared" si="49"/>
        <v>0.0001-0.563409i</v>
      </c>
      <c r="FE234" s="13" t="str">
        <f t="shared" si="50"/>
        <v>0.000001-0.023475i</v>
      </c>
      <c r="FF234" s="13" t="str">
        <f t="shared" si="51"/>
        <v>0.010799+49.673899i</v>
      </c>
      <c r="FG234" s="14" t="str">
        <f t="shared" si="52"/>
        <v>10.798674+0.0001i</v>
      </c>
      <c r="FI234" s="1" t="str">
        <f t="shared" si="53"/>
        <v>0.0108+49.650424i</v>
      </c>
      <c r="FJ234" s="1" t="str">
        <f t="shared" si="54"/>
        <v>0.111661+536.158744i</v>
      </c>
      <c r="FK234" s="1" t="str">
        <f t="shared" si="55"/>
        <v>10.809474+49.650524i</v>
      </c>
      <c r="FL234" s="1" t="str">
        <f t="shared" si="56"/>
        <v>10.310446+2.24245i</v>
      </c>
      <c r="FM234" s="1" t="str">
        <f t="shared" si="57"/>
        <v>10.310546+1.679041i</v>
      </c>
      <c r="FN234" s="1">
        <f t="shared" si="61"/>
        <v>46</v>
      </c>
      <c r="FO234" s="1">
        <f t="shared" si="62"/>
        <v>10.446364798234695</v>
      </c>
    </row>
    <row r="235" spans="159:171" x14ac:dyDescent="0.25">
      <c r="FC235" s="1">
        <f t="shared" si="58"/>
        <v>46.2</v>
      </c>
      <c r="FD235" s="12" t="str">
        <f t="shared" si="49"/>
        <v>0.0001-0.56097i</v>
      </c>
      <c r="FE235" s="13" t="str">
        <f t="shared" si="50"/>
        <v>0.000001-0.023374i</v>
      </c>
      <c r="FF235" s="13" t="str">
        <f t="shared" si="51"/>
        <v>0.010799+49.889872i</v>
      </c>
      <c r="FG235" s="14" t="str">
        <f t="shared" si="52"/>
        <v>10.798674+0.0001i</v>
      </c>
      <c r="FI235" s="1" t="str">
        <f t="shared" si="53"/>
        <v>0.0108+49.866498i</v>
      </c>
      <c r="FJ235" s="1" t="str">
        <f t="shared" si="54"/>
        <v>0.111639+538.492057i</v>
      </c>
      <c r="FK235" s="1" t="str">
        <f t="shared" si="55"/>
        <v>10.809474+49.866598i</v>
      </c>
      <c r="FL235" s="1" t="str">
        <f t="shared" si="56"/>
        <v>10.314478+2.233608i</v>
      </c>
      <c r="FM235" s="1" t="str">
        <f t="shared" si="57"/>
        <v>10.314578+1.672638i</v>
      </c>
      <c r="FN235" s="1">
        <f t="shared" si="61"/>
        <v>46.2</v>
      </c>
      <c r="FO235" s="1">
        <f t="shared" si="62"/>
        <v>10.449317546956259</v>
      </c>
    </row>
    <row r="236" spans="159:171" x14ac:dyDescent="0.25">
      <c r="FC236" s="1">
        <f t="shared" si="58"/>
        <v>46.4</v>
      </c>
      <c r="FD236" s="12" t="str">
        <f t="shared" si="49"/>
        <v>0.0001-0.558552i</v>
      </c>
      <c r="FE236" s="13" t="str">
        <f t="shared" si="50"/>
        <v>0.000001-0.023273i</v>
      </c>
      <c r="FF236" s="13" t="str">
        <f t="shared" si="51"/>
        <v>0.010799+50.105846i</v>
      </c>
      <c r="FG236" s="14" t="str">
        <f t="shared" si="52"/>
        <v>10.798674+0.0001i</v>
      </c>
      <c r="FI236" s="1" t="str">
        <f t="shared" si="53"/>
        <v>0.0108+50.082573i</v>
      </c>
      <c r="FJ236" s="1" t="str">
        <f t="shared" si="54"/>
        <v>0.111617+540.82538i</v>
      </c>
      <c r="FK236" s="1" t="str">
        <f t="shared" si="55"/>
        <v>10.809474+50.082673i</v>
      </c>
      <c r="FL236" s="1" t="str">
        <f t="shared" si="56"/>
        <v>10.318461+2.224832i</v>
      </c>
      <c r="FM236" s="1" t="str">
        <f t="shared" si="57"/>
        <v>10.318561+1.66628i</v>
      </c>
      <c r="FN236" s="1">
        <f t="shared" si="61"/>
        <v>46.4</v>
      </c>
      <c r="FO236" s="1">
        <f t="shared" si="62"/>
        <v>10.452233739690337</v>
      </c>
    </row>
    <row r="237" spans="159:171" x14ac:dyDescent="0.25">
      <c r="FC237" s="1">
        <f t="shared" si="58"/>
        <v>46.6</v>
      </c>
      <c r="FD237" s="12" t="str">
        <f t="shared" si="49"/>
        <v>0.0001-0.556155i</v>
      </c>
      <c r="FE237" s="13" t="str">
        <f t="shared" si="50"/>
        <v>0.000001-0.023173i</v>
      </c>
      <c r="FF237" s="13" t="str">
        <f t="shared" si="51"/>
        <v>0.010799+50.321819i</v>
      </c>
      <c r="FG237" s="14" t="str">
        <f t="shared" si="52"/>
        <v>10.798674+0.0001i</v>
      </c>
      <c r="FI237" s="1" t="str">
        <f t="shared" si="53"/>
        <v>0.0108+50.298646i</v>
      </c>
      <c r="FJ237" s="1" t="str">
        <f t="shared" si="54"/>
        <v>0.111596+543.158682i</v>
      </c>
      <c r="FK237" s="1" t="str">
        <f t="shared" si="55"/>
        <v>10.809474+50.298746i</v>
      </c>
      <c r="FL237" s="1" t="str">
        <f t="shared" si="56"/>
        <v>10.322396+2.21612i</v>
      </c>
      <c r="FM237" s="1" t="str">
        <f t="shared" si="57"/>
        <v>10.322496+1.659965i</v>
      </c>
      <c r="FN237" s="1">
        <f t="shared" si="61"/>
        <v>46.6</v>
      </c>
      <c r="FO237" s="1">
        <f t="shared" si="62"/>
        <v>10.455113938702006</v>
      </c>
    </row>
    <row r="238" spans="159:171" x14ac:dyDescent="0.25">
      <c r="FC238" s="1">
        <f t="shared" si="58"/>
        <v>46.8</v>
      </c>
      <c r="FD238" s="12" t="str">
        <f t="shared" si="49"/>
        <v>0.0001-0.553778i</v>
      </c>
      <c r="FE238" s="13" t="str">
        <f t="shared" si="50"/>
        <v>0.000001-0.023074i</v>
      </c>
      <c r="FF238" s="13" t="str">
        <f t="shared" si="51"/>
        <v>0.010799+50.537793i</v>
      </c>
      <c r="FG238" s="14" t="str">
        <f t="shared" si="52"/>
        <v>10.798674+0.0001i</v>
      </c>
      <c r="FI238" s="1" t="str">
        <f t="shared" si="53"/>
        <v>0.0108+50.514719i</v>
      </c>
      <c r="FJ238" s="1" t="str">
        <f t="shared" si="54"/>
        <v>0.111574+545.491984i</v>
      </c>
      <c r="FK238" s="1" t="str">
        <f t="shared" si="55"/>
        <v>10.809474+50.514819i</v>
      </c>
      <c r="FL238" s="1" t="str">
        <f t="shared" si="56"/>
        <v>10.326284+2.207473i</v>
      </c>
      <c r="FM238" s="1" t="str">
        <f t="shared" si="57"/>
        <v>10.326384+1.653695i</v>
      </c>
      <c r="FN238" s="1">
        <f t="shared" si="61"/>
        <v>46.8</v>
      </c>
      <c r="FO238" s="1">
        <f t="shared" si="62"/>
        <v>10.4579593453255</v>
      </c>
    </row>
    <row r="239" spans="159:171" x14ac:dyDescent="0.25">
      <c r="FC239" s="1">
        <f t="shared" si="58"/>
        <v>47</v>
      </c>
      <c r="FD239" s="12" t="str">
        <f t="shared" si="49"/>
        <v>0.0001-0.551422i</v>
      </c>
      <c r="FE239" s="13" t="str">
        <f t="shared" si="50"/>
        <v>0.000001-0.022976i</v>
      </c>
      <c r="FF239" s="13" t="str">
        <f t="shared" si="51"/>
        <v>0.010799+50.753766i</v>
      </c>
      <c r="FG239" s="14" t="str">
        <f t="shared" si="52"/>
        <v>10.798674+0.0001i</v>
      </c>
      <c r="FI239" s="1" t="str">
        <f t="shared" si="53"/>
        <v>0.0108+50.73079i</v>
      </c>
      <c r="FJ239" s="1" t="str">
        <f t="shared" si="54"/>
        <v>0.111553+547.825264i</v>
      </c>
      <c r="FK239" s="1" t="str">
        <f t="shared" si="55"/>
        <v>10.809474+50.73089i</v>
      </c>
      <c r="FL239" s="1" t="str">
        <f t="shared" si="56"/>
        <v>10.330125+2.19889i</v>
      </c>
      <c r="FM239" s="1" t="str">
        <f t="shared" si="57"/>
        <v>10.330225+1.647468i</v>
      </c>
      <c r="FN239" s="1">
        <f t="shared" si="61"/>
        <v>47</v>
      </c>
      <c r="FO239" s="1">
        <f t="shared" si="62"/>
        <v>10.460769539649032</v>
      </c>
    </row>
    <row r="240" spans="159:171" x14ac:dyDescent="0.25">
      <c r="FC240" s="1">
        <f t="shared" si="58"/>
        <v>47.2</v>
      </c>
      <c r="FD240" s="12" t="str">
        <f t="shared" si="49"/>
        <v>0.0001-0.549085i</v>
      </c>
      <c r="FE240" s="13" t="str">
        <f t="shared" si="50"/>
        <v>0.000001-0.022879i</v>
      </c>
      <c r="FF240" s="13" t="str">
        <f t="shared" si="51"/>
        <v>0.010799+50.969739i</v>
      </c>
      <c r="FG240" s="14" t="str">
        <f t="shared" si="52"/>
        <v>10.798674+0.0001i</v>
      </c>
      <c r="FI240" s="1" t="str">
        <f t="shared" si="53"/>
        <v>0.0108+50.94686i</v>
      </c>
      <c r="FJ240" s="1" t="str">
        <f t="shared" si="54"/>
        <v>0.111531+550.158534i</v>
      </c>
      <c r="FK240" s="1" t="str">
        <f t="shared" si="55"/>
        <v>10.809474+50.94696i</v>
      </c>
      <c r="FL240" s="1" t="str">
        <f t="shared" si="56"/>
        <v>10.33392+2.19037i</v>
      </c>
      <c r="FM240" s="1" t="str">
        <f t="shared" si="57"/>
        <v>10.33402+1.641285i</v>
      </c>
      <c r="FN240" s="1">
        <f t="shared" si="61"/>
        <v>47.2</v>
      </c>
      <c r="FO240" s="1">
        <f t="shared" si="62"/>
        <v>10.463545565993634</v>
      </c>
    </row>
    <row r="241" spans="159:171" x14ac:dyDescent="0.25">
      <c r="FC241" s="1">
        <f t="shared" si="58"/>
        <v>47.4</v>
      </c>
      <c r="FD241" s="12" t="str">
        <f t="shared" si="49"/>
        <v>0.0001-0.546768i</v>
      </c>
      <c r="FE241" s="13" t="str">
        <f t="shared" si="50"/>
        <v>0.000001-0.022782i</v>
      </c>
      <c r="FF241" s="13" t="str">
        <f t="shared" si="51"/>
        <v>0.010799+51.185713i</v>
      </c>
      <c r="FG241" s="14" t="str">
        <f t="shared" si="52"/>
        <v>10.798674+0.0001i</v>
      </c>
      <c r="FI241" s="1" t="str">
        <f t="shared" si="53"/>
        <v>0.0108+51.162931i</v>
      </c>
      <c r="FJ241" s="1" t="str">
        <f t="shared" si="54"/>
        <v>0.111509+552.491814i</v>
      </c>
      <c r="FK241" s="1" t="str">
        <f t="shared" si="55"/>
        <v>10.809474+51.163031i</v>
      </c>
      <c r="FL241" s="1" t="str">
        <f t="shared" si="56"/>
        <v>10.337669+2.181913i</v>
      </c>
      <c r="FM241" s="1" t="str">
        <f t="shared" si="57"/>
        <v>10.337769+1.635145i</v>
      </c>
      <c r="FN241" s="1">
        <f t="shared" si="61"/>
        <v>47.4</v>
      </c>
      <c r="FO241" s="1">
        <f t="shared" si="62"/>
        <v>10.466287167299873</v>
      </c>
    </row>
    <row r="242" spans="159:171" x14ac:dyDescent="0.25">
      <c r="FC242" s="1">
        <f t="shared" si="58"/>
        <v>47.6</v>
      </c>
      <c r="FD242" s="12" t="str">
        <f t="shared" si="49"/>
        <v>0.0001-0.544471i</v>
      </c>
      <c r="FE242" s="13" t="str">
        <f t="shared" si="50"/>
        <v>0.000001-0.022686i</v>
      </c>
      <c r="FF242" s="13" t="str">
        <f t="shared" si="51"/>
        <v>0.010799+51.401686i</v>
      </c>
      <c r="FG242" s="14" t="str">
        <f t="shared" si="52"/>
        <v>10.798674+0.0001i</v>
      </c>
      <c r="FI242" s="1" t="str">
        <f t="shared" si="53"/>
        <v>0.0108+51.379i</v>
      </c>
      <c r="FJ242" s="1" t="str">
        <f t="shared" si="54"/>
        <v>0.111488+554.825073i</v>
      </c>
      <c r="FK242" s="1" t="str">
        <f t="shared" si="55"/>
        <v>10.809474+51.3791i</v>
      </c>
      <c r="FL242" s="1" t="str">
        <f t="shared" si="56"/>
        <v>10.341374+2.173517i</v>
      </c>
      <c r="FM242" s="1" t="str">
        <f t="shared" si="57"/>
        <v>10.341474+1.629046i</v>
      </c>
      <c r="FN242" s="1">
        <f t="shared" si="61"/>
        <v>47.6</v>
      </c>
      <c r="FO242" s="1">
        <f t="shared" si="62"/>
        <v>10.468995909961565</v>
      </c>
    </row>
    <row r="243" spans="159:171" x14ac:dyDescent="0.25">
      <c r="FC243" s="1">
        <f t="shared" si="58"/>
        <v>47.8</v>
      </c>
      <c r="FD243" s="12" t="str">
        <f t="shared" si="49"/>
        <v>0.0001-0.542193i</v>
      </c>
      <c r="FE243" s="13" t="str">
        <f t="shared" si="50"/>
        <v>0.000001-0.022591i</v>
      </c>
      <c r="FF243" s="13" t="str">
        <f t="shared" si="51"/>
        <v>0.010799+51.61766i</v>
      </c>
      <c r="FG243" s="14" t="str">
        <f t="shared" si="52"/>
        <v>10.798674+0.0001i</v>
      </c>
      <c r="FI243" s="1" t="str">
        <f t="shared" si="53"/>
        <v>0.0108+51.595069i</v>
      </c>
      <c r="FJ243" s="1" t="str">
        <f t="shared" si="54"/>
        <v>0.111466+557.158331i</v>
      </c>
      <c r="FK243" s="1" t="str">
        <f t="shared" si="55"/>
        <v>10.809474+51.595169i</v>
      </c>
      <c r="FL243" s="1" t="str">
        <f t="shared" si="56"/>
        <v>10.345035+2.165182i</v>
      </c>
      <c r="FM243" s="1" t="str">
        <f t="shared" si="57"/>
        <v>10.345135+1.622989i</v>
      </c>
      <c r="FN243" s="1">
        <f t="shared" si="61"/>
        <v>47.8</v>
      </c>
      <c r="FO243" s="1">
        <f t="shared" si="62"/>
        <v>10.471671856124312</v>
      </c>
    </row>
    <row r="244" spans="159:171" x14ac:dyDescent="0.25">
      <c r="FC244" s="1">
        <f t="shared" si="58"/>
        <v>48</v>
      </c>
      <c r="FD244" s="12" t="str">
        <f t="shared" si="49"/>
        <v>0.0001-0.539934i</v>
      </c>
      <c r="FE244" s="13" t="str">
        <f t="shared" si="50"/>
        <v>0.000001-0.022497i</v>
      </c>
      <c r="FF244" s="13" t="str">
        <f t="shared" si="51"/>
        <v>0.010799+51.833633i</v>
      </c>
      <c r="FG244" s="14" t="str">
        <f t="shared" si="52"/>
        <v>10.798674+0.0001i</v>
      </c>
      <c r="FI244" s="1" t="str">
        <f t="shared" si="53"/>
        <v>0.0108+51.811136i</v>
      </c>
      <c r="FJ244" s="1" t="str">
        <f t="shared" si="54"/>
        <v>0.111445+559.491568i</v>
      </c>
      <c r="FK244" s="1" t="str">
        <f t="shared" si="55"/>
        <v>10.809474+51.811236i</v>
      </c>
      <c r="FL244" s="1" t="str">
        <f t="shared" si="56"/>
        <v>10.348654+2.156908i</v>
      </c>
      <c r="FM244" s="1" t="str">
        <f t="shared" si="57"/>
        <v>10.348754+1.616974i</v>
      </c>
      <c r="FN244" s="1">
        <f t="shared" si="61"/>
        <v>48</v>
      </c>
      <c r="FO244" s="1">
        <f t="shared" si="62"/>
        <v>10.474316887949877</v>
      </c>
    </row>
    <row r="245" spans="159:171" x14ac:dyDescent="0.25">
      <c r="FC245" s="1">
        <f t="shared" si="58"/>
        <v>48.2</v>
      </c>
      <c r="FD245" s="12" t="str">
        <f t="shared" si="49"/>
        <v>0.0001-0.537693i</v>
      </c>
      <c r="FE245" s="13" t="str">
        <f t="shared" si="50"/>
        <v>0.000001-0.022404i</v>
      </c>
      <c r="FF245" s="13" t="str">
        <f t="shared" si="51"/>
        <v>0.010799+52.049607i</v>
      </c>
      <c r="FG245" s="14" t="str">
        <f t="shared" si="52"/>
        <v>10.798674+0.0001i</v>
      </c>
      <c r="FI245" s="1" t="str">
        <f t="shared" si="53"/>
        <v>0.0108+52.027203i</v>
      </c>
      <c r="FJ245" s="1" t="str">
        <f t="shared" si="54"/>
        <v>0.111423+561.824805i</v>
      </c>
      <c r="FK245" s="1" t="str">
        <f t="shared" si="55"/>
        <v>10.809474+52.027303i</v>
      </c>
      <c r="FL245" s="1" t="str">
        <f t="shared" si="56"/>
        <v>10.352229+2.148694i</v>
      </c>
      <c r="FM245" s="1" t="str">
        <f t="shared" si="57"/>
        <v>10.352329+1.611001i</v>
      </c>
      <c r="FN245" s="1">
        <f t="shared" si="61"/>
        <v>48.2</v>
      </c>
      <c r="FO245" s="1">
        <f t="shared" si="62"/>
        <v>10.476928936775412</v>
      </c>
    </row>
    <row r="246" spans="159:171" x14ac:dyDescent="0.25">
      <c r="FC246" s="1">
        <f t="shared" si="58"/>
        <v>48.4</v>
      </c>
      <c r="FD246" s="12" t="str">
        <f t="shared" si="49"/>
        <v>0.0001-0.535471i</v>
      </c>
      <c r="FE246" s="13" t="str">
        <f t="shared" si="50"/>
        <v>0.000001-0.022311i</v>
      </c>
      <c r="FF246" s="13" t="str">
        <f t="shared" si="51"/>
        <v>0.010799+52.26558i</v>
      </c>
      <c r="FG246" s="14" t="str">
        <f t="shared" si="52"/>
        <v>10.798674+0.0001i</v>
      </c>
      <c r="FI246" s="1" t="str">
        <f t="shared" si="53"/>
        <v>0.0108+52.243269i</v>
      </c>
      <c r="FJ246" s="1" t="str">
        <f t="shared" si="54"/>
        <v>0.111401+564.158032i</v>
      </c>
      <c r="FK246" s="1" t="str">
        <f t="shared" si="55"/>
        <v>10.809474+52.243369i</v>
      </c>
      <c r="FL246" s="1" t="str">
        <f t="shared" si="56"/>
        <v>10.355763+2.140539i</v>
      </c>
      <c r="FM246" s="1" t="str">
        <f t="shared" si="57"/>
        <v>10.355863+1.605068i</v>
      </c>
      <c r="FN246" s="1">
        <f t="shared" si="61"/>
        <v>48.4</v>
      </c>
      <c r="FO246" s="1">
        <f t="shared" si="62"/>
        <v>10.479510568695133</v>
      </c>
    </row>
    <row r="247" spans="159:171" x14ac:dyDescent="0.25">
      <c r="FC247" s="1">
        <f t="shared" si="58"/>
        <v>48.6</v>
      </c>
      <c r="FD247" s="12" t="str">
        <f t="shared" si="49"/>
        <v>0.0001-0.533268i</v>
      </c>
      <c r="FE247" s="13" t="str">
        <f t="shared" si="50"/>
        <v>0.000001-0.022219i</v>
      </c>
      <c r="FF247" s="13" t="str">
        <f t="shared" si="51"/>
        <v>0.010799+52.481554i</v>
      </c>
      <c r="FG247" s="14" t="str">
        <f t="shared" si="52"/>
        <v>10.798674+0.0001i</v>
      </c>
      <c r="FI247" s="1" t="str">
        <f t="shared" si="53"/>
        <v>0.0108+52.459335i</v>
      </c>
      <c r="FJ247" s="1" t="str">
        <f t="shared" si="54"/>
        <v>0.11138+566.491258i</v>
      </c>
      <c r="FK247" s="1" t="str">
        <f t="shared" si="55"/>
        <v>10.809474+52.459435i</v>
      </c>
      <c r="FL247" s="1" t="str">
        <f t="shared" si="56"/>
        <v>10.359255+2.132442i</v>
      </c>
      <c r="FM247" s="1" t="str">
        <f t="shared" si="57"/>
        <v>10.359355+1.599174i</v>
      </c>
      <c r="FN247" s="1">
        <f t="shared" si="61"/>
        <v>48.6</v>
      </c>
      <c r="FO247" s="1">
        <f t="shared" si="62"/>
        <v>10.482060555935602</v>
      </c>
    </row>
    <row r="248" spans="159:171" x14ac:dyDescent="0.25">
      <c r="FC248" s="1">
        <f t="shared" si="58"/>
        <v>48.8</v>
      </c>
      <c r="FD248" s="12" t="str">
        <f t="shared" si="49"/>
        <v>0.0001-0.531082i</v>
      </c>
      <c r="FE248" s="13" t="str">
        <f t="shared" si="50"/>
        <v>0.000001-0.022128i</v>
      </c>
      <c r="FF248" s="13" t="str">
        <f t="shared" si="51"/>
        <v>0.010799+52.697527i</v>
      </c>
      <c r="FG248" s="14" t="str">
        <f t="shared" si="52"/>
        <v>10.798674+0.0001i</v>
      </c>
      <c r="FI248" s="1" t="str">
        <f t="shared" si="53"/>
        <v>0.0108+52.675399i</v>
      </c>
      <c r="FJ248" s="1" t="str">
        <f t="shared" si="54"/>
        <v>0.111358+568.824463i</v>
      </c>
      <c r="FK248" s="1" t="str">
        <f t="shared" si="55"/>
        <v>10.809474+52.675499i</v>
      </c>
      <c r="FL248" s="1" t="str">
        <f t="shared" si="56"/>
        <v>10.362707+2.124404i</v>
      </c>
      <c r="FM248" s="1" t="str">
        <f t="shared" si="57"/>
        <v>10.362807+1.593322i</v>
      </c>
      <c r="FN248" s="1">
        <f t="shared" si="61"/>
        <v>48.8</v>
      </c>
      <c r="FO248" s="1">
        <f t="shared" si="62"/>
        <v>10.48458124652258</v>
      </c>
    </row>
    <row r="249" spans="159:171" x14ac:dyDescent="0.25">
      <c r="FC249" s="1">
        <f t="shared" si="58"/>
        <v>49</v>
      </c>
      <c r="FD249" s="12" t="str">
        <f t="shared" si="49"/>
        <v>0.0001-0.528915i</v>
      </c>
      <c r="FE249" s="13" t="str">
        <f t="shared" si="50"/>
        <v>0.000001-0.022038i</v>
      </c>
      <c r="FF249" s="13" t="str">
        <f t="shared" si="51"/>
        <v>0.010799+52.913501i</v>
      </c>
      <c r="FG249" s="14" t="str">
        <f t="shared" si="52"/>
        <v>10.798674+0.0001i</v>
      </c>
      <c r="FI249" s="1" t="str">
        <f t="shared" si="53"/>
        <v>0.0108+52.891463i</v>
      </c>
      <c r="FJ249" s="1" t="str">
        <f t="shared" si="54"/>
        <v>0.111337+571.157667i</v>
      </c>
      <c r="FK249" s="1" t="str">
        <f t="shared" si="55"/>
        <v>10.809474+52.891563i</v>
      </c>
      <c r="FL249" s="1" t="str">
        <f t="shared" si="56"/>
        <v>10.366119+2.116424i</v>
      </c>
      <c r="FM249" s="1" t="str">
        <f t="shared" si="57"/>
        <v>10.366219+1.587509i</v>
      </c>
      <c r="FN249" s="1">
        <f t="shared" si="61"/>
        <v>49</v>
      </c>
      <c r="FO249" s="1">
        <f t="shared" si="62"/>
        <v>10.487072097637261</v>
      </c>
    </row>
    <row r="250" spans="159:171" x14ac:dyDescent="0.25">
      <c r="FC250" s="1">
        <f t="shared" si="58"/>
        <v>49.2</v>
      </c>
      <c r="FD250" s="12" t="str">
        <f t="shared" si="49"/>
        <v>0.0001-0.526765i</v>
      </c>
      <c r="FE250" s="13" t="str">
        <f t="shared" si="50"/>
        <v>0.000001-0.021949i</v>
      </c>
      <c r="FF250" s="13" t="str">
        <f t="shared" si="51"/>
        <v>0.010799+53.129474i</v>
      </c>
      <c r="FG250" s="14" t="str">
        <f t="shared" si="52"/>
        <v>10.798674+0.0001i</v>
      </c>
      <c r="FI250" s="1" t="str">
        <f t="shared" si="53"/>
        <v>0.0108+53.107525i</v>
      </c>
      <c r="FJ250" s="1" t="str">
        <f t="shared" si="54"/>
        <v>0.111315+573.490851i</v>
      </c>
      <c r="FK250" s="1" t="str">
        <f t="shared" si="55"/>
        <v>10.809474+53.107625i</v>
      </c>
      <c r="FL250" s="1" t="str">
        <f t="shared" si="56"/>
        <v>10.369492+2.1085i</v>
      </c>
      <c r="FM250" s="1" t="str">
        <f t="shared" si="57"/>
        <v>10.369592+1.581735i</v>
      </c>
      <c r="FN250" s="1">
        <f t="shared" si="61"/>
        <v>49.2</v>
      </c>
      <c r="FO250" s="1">
        <f t="shared" si="62"/>
        <v>10.48953401523104</v>
      </c>
    </row>
    <row r="251" spans="159:171" x14ac:dyDescent="0.25">
      <c r="FC251" s="1">
        <f t="shared" si="58"/>
        <v>49.4</v>
      </c>
      <c r="FD251" s="12" t="str">
        <f t="shared" si="49"/>
        <v>0.0001-0.524632i</v>
      </c>
      <c r="FE251" s="13" t="str">
        <f t="shared" si="50"/>
        <v>0.000001-0.02186i</v>
      </c>
      <c r="FF251" s="13" t="str">
        <f t="shared" si="51"/>
        <v>0.010799+53.345448i</v>
      </c>
      <c r="FG251" s="14" t="str">
        <f t="shared" si="52"/>
        <v>10.798674+0.0001i</v>
      </c>
      <c r="FI251" s="1" t="str">
        <f t="shared" si="53"/>
        <v>0.0108+53.323588i</v>
      </c>
      <c r="FJ251" s="1" t="str">
        <f t="shared" si="54"/>
        <v>0.111293+575.824044i</v>
      </c>
      <c r="FK251" s="1" t="str">
        <f t="shared" si="55"/>
        <v>10.809474+53.323688i</v>
      </c>
      <c r="FL251" s="1" t="str">
        <f t="shared" si="56"/>
        <v>10.372825+2.100633i</v>
      </c>
      <c r="FM251" s="1" t="str">
        <f t="shared" si="57"/>
        <v>10.372925+1.576001i</v>
      </c>
      <c r="FN251" s="1">
        <f t="shared" si="61"/>
        <v>49.4</v>
      </c>
      <c r="FO251" s="1">
        <f t="shared" si="62"/>
        <v>10.491966079225858</v>
      </c>
    </row>
    <row r="252" spans="159:171" x14ac:dyDescent="0.25">
      <c r="FC252" s="1">
        <f t="shared" si="58"/>
        <v>49.6</v>
      </c>
      <c r="FD252" s="12" t="str">
        <f t="shared" si="49"/>
        <v>0.0001-0.522516i</v>
      </c>
      <c r="FE252" s="13" t="str">
        <f t="shared" si="50"/>
        <v>0.000001-0.021772i</v>
      </c>
      <c r="FF252" s="13" t="str">
        <f t="shared" si="51"/>
        <v>0.010799+53.561421i</v>
      </c>
      <c r="FG252" s="14" t="str">
        <f t="shared" si="52"/>
        <v>10.798674+0.0001i</v>
      </c>
      <c r="FI252" s="1" t="str">
        <f t="shared" si="53"/>
        <v>0.0108+53.539649i</v>
      </c>
      <c r="FJ252" s="1" t="str">
        <f t="shared" si="54"/>
        <v>0.111272+578.157217i</v>
      </c>
      <c r="FK252" s="1" t="str">
        <f t="shared" si="55"/>
        <v>10.809474+53.539749i</v>
      </c>
      <c r="FL252" s="1" t="str">
        <f t="shared" si="56"/>
        <v>10.376121+2.092822i</v>
      </c>
      <c r="FM252" s="1" t="str">
        <f t="shared" si="57"/>
        <v>10.376221+1.570306i</v>
      </c>
      <c r="FN252" s="1">
        <f t="shared" si="61"/>
        <v>49.6</v>
      </c>
      <c r="FO252" s="1">
        <f t="shared" si="62"/>
        <v>10.494371023290389</v>
      </c>
    </row>
    <row r="253" spans="159:171" x14ac:dyDescent="0.25">
      <c r="FC253" s="1">
        <f t="shared" si="58"/>
        <v>49.8</v>
      </c>
      <c r="FD253" s="12" t="str">
        <f t="shared" si="49"/>
        <v>0.0001-0.520418i</v>
      </c>
      <c r="FE253" s="13" t="str">
        <f t="shared" si="50"/>
        <v>0.000001-0.021684i</v>
      </c>
      <c r="FF253" s="13" t="str">
        <f t="shared" si="51"/>
        <v>0.010799+53.777395i</v>
      </c>
      <c r="FG253" s="14" t="str">
        <f t="shared" si="52"/>
        <v>10.798674+0.0001i</v>
      </c>
      <c r="FI253" s="1" t="str">
        <f t="shared" si="53"/>
        <v>0.0108+53.755711i</v>
      </c>
      <c r="FJ253" s="1" t="str">
        <f t="shared" si="54"/>
        <v>0.11125+580.4904i</v>
      </c>
      <c r="FK253" s="1" t="str">
        <f t="shared" si="55"/>
        <v>10.809474+53.755811i</v>
      </c>
      <c r="FL253" s="1" t="str">
        <f t="shared" si="56"/>
        <v>10.379379+2.085065i</v>
      </c>
      <c r="FM253" s="1" t="str">
        <f t="shared" si="57"/>
        <v>10.379479+1.564647i</v>
      </c>
      <c r="FN253" s="1">
        <f t="shared" si="61"/>
        <v>49.8</v>
      </c>
      <c r="FO253" s="1">
        <f t="shared" si="62"/>
        <v>10.496747331723766</v>
      </c>
    </row>
    <row r="254" spans="159:171" x14ac:dyDescent="0.25">
      <c r="FC254" s="1">
        <f t="shared" si="58"/>
        <v>50</v>
      </c>
      <c r="FD254" s="12" t="str">
        <f t="shared" si="49"/>
        <v>0.0001-0.518336i</v>
      </c>
      <c r="FE254" s="13" t="str">
        <f t="shared" si="50"/>
        <v>0.000001-0.021597i</v>
      </c>
      <c r="FF254" s="13" t="str">
        <f t="shared" si="51"/>
        <v>0.010799+53.993368i</v>
      </c>
      <c r="FG254" s="14" t="str">
        <f t="shared" si="52"/>
        <v>10.798674+0.0001i</v>
      </c>
      <c r="FI254" s="1" t="str">
        <f t="shared" si="53"/>
        <v>0.0108+53.971771i</v>
      </c>
      <c r="FJ254" s="1" t="str">
        <f t="shared" si="54"/>
        <v>0.111229+582.823561i</v>
      </c>
      <c r="FK254" s="1" t="str">
        <f t="shared" si="55"/>
        <v>10.809474+53.971871i</v>
      </c>
      <c r="FL254" s="1" t="str">
        <f t="shared" si="56"/>
        <v>10.3826+2.077364i</v>
      </c>
      <c r="FM254" s="1" t="str">
        <f t="shared" si="57"/>
        <v>10.3827+1.559028i</v>
      </c>
      <c r="FN254" s="1">
        <f t="shared" si="61"/>
        <v>50</v>
      </c>
      <c r="FO254" s="1">
        <f t="shared" si="62"/>
        <v>10.499096513261701</v>
      </c>
    </row>
    <row r="255" spans="159:171" x14ac:dyDescent="0.25">
      <c r="FD255" s="12"/>
      <c r="FE255" s="13"/>
      <c r="FF255" s="13"/>
      <c r="FG255" s="14"/>
    </row>
    <row r="256" spans="159:171" x14ac:dyDescent="0.25">
      <c r="FE256" s="53">
        <f>S34</f>
        <v>1</v>
      </c>
      <c r="FF256" s="1"/>
      <c r="FG256" s="1"/>
    </row>
    <row r="257" spans="159:170" x14ac:dyDescent="0.25">
      <c r="FE257" s="1">
        <f>1.414*FE256</f>
        <v>1.4139999999999999</v>
      </c>
      <c r="FF257" s="1"/>
      <c r="FG257" s="1"/>
    </row>
    <row r="258" spans="159:170" x14ac:dyDescent="0.25">
      <c r="FE258" s="1">
        <f>AJ34/S34</f>
        <v>154.33994272701955</v>
      </c>
      <c r="FF258" s="1"/>
      <c r="FG258" s="1"/>
    </row>
    <row r="259" spans="159:170" x14ac:dyDescent="0.25">
      <c r="FE259" s="15">
        <f>S35*AJ34</f>
        <v>926.03965636211728</v>
      </c>
      <c r="FF259" s="1"/>
      <c r="FG259" s="1"/>
    </row>
    <row r="260" spans="159:170" x14ac:dyDescent="0.25">
      <c r="FE260" s="1"/>
      <c r="FF260" s="1"/>
      <c r="FG260" s="1"/>
    </row>
    <row r="261" spans="159:170" x14ac:dyDescent="0.25">
      <c r="FE261" s="1"/>
      <c r="FF261" s="1"/>
      <c r="FG261" s="1"/>
    </row>
    <row r="262" spans="159:170" x14ac:dyDescent="0.25">
      <c r="FE262" s="1"/>
      <c r="FF262" s="1"/>
      <c r="FG262" s="1"/>
      <c r="FN262" s="57">
        <f>S28</f>
        <v>9.9600000000000009</v>
      </c>
    </row>
    <row r="263" spans="159:170" x14ac:dyDescent="0.25">
      <c r="FE263" s="15">
        <f>J24</f>
        <v>1</v>
      </c>
      <c r="FF263" s="15">
        <f>L24</f>
        <v>2</v>
      </c>
      <c r="FG263" s="15">
        <f>N24</f>
        <v>3</v>
      </c>
      <c r="FH263" s="15">
        <f>P24</f>
        <v>4</v>
      </c>
      <c r="FI263" s="15">
        <f>R24</f>
        <v>5</v>
      </c>
      <c r="FJ263" s="15">
        <f>T24</f>
        <v>7</v>
      </c>
      <c r="FK263" s="15">
        <f>V24</f>
        <v>11</v>
      </c>
      <c r="FL263" s="15">
        <f>X24</f>
        <v>13</v>
      </c>
    </row>
    <row r="264" spans="159:170" x14ac:dyDescent="0.25">
      <c r="FC264" s="1" t="s">
        <v>201</v>
      </c>
      <c r="FE264" s="53">
        <f>N61^2</f>
        <v>51956597.280229889</v>
      </c>
      <c r="FF264" s="53">
        <f>N62^2</f>
        <v>0</v>
      </c>
      <c r="FG264" s="53">
        <f>N63^2</f>
        <v>0</v>
      </c>
      <c r="FH264" s="53">
        <f>N64^2</f>
        <v>0</v>
      </c>
      <c r="FI264" s="53">
        <f>N65^2</f>
        <v>268672.55445344455</v>
      </c>
      <c r="FJ264" s="53">
        <f>N66^2</f>
        <v>87729.813699083941</v>
      </c>
      <c r="FK264" s="53">
        <f>N67^2</f>
        <v>19983.909008933893</v>
      </c>
      <c r="FL264" s="53">
        <f>N68^2</f>
        <v>3577.0014646168652</v>
      </c>
      <c r="FN264" s="1">
        <f>1.414*S28</f>
        <v>14.083440000000001</v>
      </c>
    </row>
    <row r="265" spans="159:170" x14ac:dyDescent="0.25">
      <c r="FC265" s="1" t="s">
        <v>202</v>
      </c>
      <c r="FE265" s="1">
        <f>J25*J25</f>
        <v>77353.040225376506</v>
      </c>
      <c r="FF265" s="1">
        <f>L25*L25</f>
        <v>0</v>
      </c>
      <c r="FG265" s="1">
        <f>N25*N25</f>
        <v>0</v>
      </c>
      <c r="FH265" s="1">
        <f>P25*P25</f>
        <v>0</v>
      </c>
      <c r="FI265" s="1">
        <f>R25*R25</f>
        <v>10000</v>
      </c>
      <c r="FJ265" s="1">
        <f>T25*T25</f>
        <v>6400</v>
      </c>
      <c r="FK265" s="1">
        <f>V25*V25</f>
        <v>3600</v>
      </c>
      <c r="FL265" s="1">
        <f>X25*X25</f>
        <v>900</v>
      </c>
      <c r="FN265" s="1">
        <f>AJ28/S28</f>
        <v>76.861291478055747</v>
      </c>
    </row>
    <row r="266" spans="159:170" x14ac:dyDescent="0.25">
      <c r="FC266" s="1" t="s">
        <v>262</v>
      </c>
      <c r="FE266" s="1">
        <f t="shared" ref="FE266:FL266" si="63">FE265*$AJ$30/(FE263*1000)</f>
        <v>2004.7445621303752</v>
      </c>
      <c r="FF266" s="1">
        <f t="shared" si="63"/>
        <v>0</v>
      </c>
      <c r="FG266" s="1">
        <f t="shared" si="63"/>
        <v>0</v>
      </c>
      <c r="FH266" s="1">
        <f t="shared" si="63"/>
        <v>0</v>
      </c>
      <c r="FI266" s="1">
        <f t="shared" si="63"/>
        <v>51.833633333333346</v>
      </c>
      <c r="FJ266" s="1">
        <f t="shared" si="63"/>
        <v>23.695375238095245</v>
      </c>
      <c r="FK266" s="1">
        <f t="shared" si="63"/>
        <v>8.4818672727272748</v>
      </c>
      <c r="FL266" s="1">
        <f t="shared" si="63"/>
        <v>1.7942411538461542</v>
      </c>
      <c r="FN266" s="15">
        <f>AJ28*S29</f>
        <v>3827.6923156071771</v>
      </c>
    </row>
    <row r="267" spans="159:170" x14ac:dyDescent="0.25">
      <c r="FE267" s="1"/>
      <c r="FF267" s="1"/>
      <c r="FG267" s="1"/>
    </row>
    <row r="268" spans="159:170" x14ac:dyDescent="0.25">
      <c r="FE268" s="1"/>
      <c r="FF268" s="1"/>
      <c r="FG268" s="1"/>
    </row>
    <row r="269" spans="159:170" x14ac:dyDescent="0.25">
      <c r="FE269" s="15">
        <f>Z24</f>
        <v>17</v>
      </c>
      <c r="FF269" s="15">
        <f>AB24</f>
        <v>19</v>
      </c>
      <c r="FG269" s="15">
        <f>AD24</f>
        <v>23</v>
      </c>
      <c r="FH269" s="15">
        <f>AF24</f>
        <v>25</v>
      </c>
      <c r="FI269" s="15">
        <f>AH24</f>
        <v>29</v>
      </c>
      <c r="FJ269" s="15">
        <f>AJ24</f>
        <v>31</v>
      </c>
      <c r="FK269" s="15">
        <f>AL24</f>
        <v>35</v>
      </c>
      <c r="FL269" s="15">
        <f>AN24</f>
        <v>37</v>
      </c>
    </row>
    <row r="270" spans="159:170" x14ac:dyDescent="0.25">
      <c r="FC270" s="1" t="s">
        <v>201</v>
      </c>
      <c r="FE270" s="53">
        <f>N69^2</f>
        <v>929.66281817800882</v>
      </c>
      <c r="FF270" s="53">
        <f>N70^2</f>
        <v>186.06132579878434</v>
      </c>
      <c r="FG270" s="53">
        <f>N71^2</f>
        <v>126.97190664151444</v>
      </c>
      <c r="FH270" s="53">
        <f>N72^2</f>
        <v>107.46902178137785</v>
      </c>
      <c r="FI270" s="53">
        <f>N73^2</f>
        <v>0</v>
      </c>
      <c r="FJ270" s="53">
        <f>N74^2</f>
        <v>0</v>
      </c>
      <c r="FK270" s="53">
        <f>N75^2</f>
        <v>54.831133561927466</v>
      </c>
      <c r="FL270" s="53">
        <f>N76^2</f>
        <v>49.06365128806511</v>
      </c>
    </row>
    <row r="271" spans="159:170" x14ac:dyDescent="0.25">
      <c r="FC271" s="1" t="s">
        <v>202</v>
      </c>
      <c r="FE271" s="1">
        <f>Z25*Z25</f>
        <v>400</v>
      </c>
      <c r="FF271" s="1">
        <f>AB25*AB25</f>
        <v>100</v>
      </c>
      <c r="FG271" s="1">
        <f>AD25*AD25</f>
        <v>100</v>
      </c>
      <c r="FH271" s="1">
        <f>AF25*AF25</f>
        <v>100</v>
      </c>
      <c r="FI271" s="1">
        <f>AH25*AH25</f>
        <v>0</v>
      </c>
      <c r="FJ271" s="1">
        <f>AJ25*AJ25</f>
        <v>0</v>
      </c>
      <c r="FK271" s="1">
        <f>AL25*AL25</f>
        <v>100</v>
      </c>
      <c r="FL271" s="1">
        <f>AN25*AN25</f>
        <v>100</v>
      </c>
    </row>
    <row r="272" spans="159:170" x14ac:dyDescent="0.25">
      <c r="FC272" s="1" t="s">
        <v>262</v>
      </c>
      <c r="FE272" s="1">
        <f t="shared" ref="FE272:FL272" si="64">FE271*$AJ$30/(FE269*1000)</f>
        <v>0.60980745098039235</v>
      </c>
      <c r="FF272" s="1">
        <f t="shared" si="64"/>
        <v>0.13640429824561406</v>
      </c>
      <c r="FG272" s="1">
        <f t="shared" si="64"/>
        <v>0.11268181159420293</v>
      </c>
      <c r="FH272" s="1">
        <f t="shared" si="64"/>
        <v>0.10366726666666669</v>
      </c>
      <c r="FI272" s="1">
        <f t="shared" si="64"/>
        <v>0</v>
      </c>
      <c r="FJ272" s="1">
        <f t="shared" si="64"/>
        <v>0</v>
      </c>
      <c r="FK272" s="1">
        <f t="shared" si="64"/>
        <v>7.4048047619047638E-2</v>
      </c>
      <c r="FL272" s="1">
        <f t="shared" si="64"/>
        <v>7.0045450450450464E-2</v>
      </c>
    </row>
    <row r="273" spans="159:176" x14ac:dyDescent="0.25">
      <c r="FE273" s="1"/>
      <c r="FF273" s="1"/>
      <c r="FG273" s="1"/>
    </row>
    <row r="274" spans="159:176" x14ac:dyDescent="0.25">
      <c r="FE274" s="1"/>
      <c r="FF274" s="1"/>
      <c r="FG274" s="1"/>
    </row>
    <row r="275" spans="159:176" x14ac:dyDescent="0.25">
      <c r="FC275" s="1" t="s">
        <v>11</v>
      </c>
      <c r="FE275" s="53" t="s">
        <v>11</v>
      </c>
      <c r="FF275" s="1"/>
      <c r="FG275" s="1"/>
    </row>
    <row r="276" spans="159:176" x14ac:dyDescent="0.25">
      <c r="FC276" s="63" t="s">
        <v>263</v>
      </c>
      <c r="FD276" s="63"/>
      <c r="FE276" s="63"/>
      <c r="FF276" s="63"/>
      <c r="FG276" s="63"/>
      <c r="FH276" s="63"/>
      <c r="FI276" s="63"/>
      <c r="FJ276" s="63"/>
      <c r="FK276" s="63"/>
      <c r="FL276" s="63"/>
      <c r="FM276" s="63"/>
      <c r="FN276" s="63"/>
      <c r="FO276" s="63"/>
      <c r="FP276" s="63"/>
      <c r="FQ276" s="63"/>
      <c r="FR276" s="63"/>
      <c r="FS276" s="63"/>
      <c r="FT276" s="63"/>
    </row>
    <row r="277" spans="159:176" x14ac:dyDescent="0.25">
      <c r="FC277" s="1" t="s">
        <v>204</v>
      </c>
      <c r="FE277" s="15">
        <f>J24</f>
        <v>1</v>
      </c>
      <c r="FF277" s="15">
        <f>L24</f>
        <v>2</v>
      </c>
      <c r="FG277" s="15">
        <f>N24</f>
        <v>3</v>
      </c>
      <c r="FH277" s="15">
        <f>P24</f>
        <v>4</v>
      </c>
      <c r="FI277" s="15">
        <f>R24</f>
        <v>5</v>
      </c>
      <c r="FJ277" s="15">
        <f>T24</f>
        <v>7</v>
      </c>
      <c r="FK277" s="15">
        <f>V24</f>
        <v>11</v>
      </c>
      <c r="FL277" s="15">
        <f>X24</f>
        <v>13</v>
      </c>
      <c r="FM277" s="15">
        <f>Z24</f>
        <v>17</v>
      </c>
      <c r="FN277" s="15">
        <f>AB24</f>
        <v>19</v>
      </c>
      <c r="FO277" s="15">
        <f>AD24</f>
        <v>23</v>
      </c>
      <c r="FP277" s="15">
        <f>AF24</f>
        <v>25</v>
      </c>
      <c r="FQ277" s="15">
        <f>AH24</f>
        <v>29</v>
      </c>
      <c r="FR277" s="15">
        <f>AJ24</f>
        <v>31</v>
      </c>
      <c r="FS277" s="15">
        <f>AL24</f>
        <v>35</v>
      </c>
      <c r="FT277" s="15">
        <f>AN24</f>
        <v>37</v>
      </c>
    </row>
    <row r="278" spans="159:176" x14ac:dyDescent="0.25">
      <c r="FC278" s="1" t="s">
        <v>205</v>
      </c>
      <c r="FE278" s="15">
        <f>J25</f>
        <v>278.12414534767834</v>
      </c>
      <c r="FF278" s="15">
        <f>L25</f>
        <v>0</v>
      </c>
      <c r="FG278" s="15">
        <f>N25</f>
        <v>0</v>
      </c>
      <c r="FH278" s="15">
        <f>P25</f>
        <v>0</v>
      </c>
      <c r="FI278" s="15">
        <f>R25</f>
        <v>100</v>
      </c>
      <c r="FJ278" s="15">
        <f>T25</f>
        <v>80</v>
      </c>
      <c r="FK278" s="15">
        <f>V25</f>
        <v>60</v>
      </c>
      <c r="FL278" s="15">
        <f>X25</f>
        <v>30</v>
      </c>
      <c r="FM278" s="15">
        <f>Z25</f>
        <v>20</v>
      </c>
      <c r="FN278" s="15">
        <f>AB25</f>
        <v>10</v>
      </c>
      <c r="FO278" s="15">
        <f>AD25</f>
        <v>10</v>
      </c>
      <c r="FP278" s="15">
        <f>AF25</f>
        <v>10</v>
      </c>
      <c r="FQ278" s="15">
        <f>AH25</f>
        <v>0</v>
      </c>
      <c r="FR278" s="15">
        <f>AJ25</f>
        <v>0</v>
      </c>
      <c r="FS278" s="15">
        <f>AL25</f>
        <v>10</v>
      </c>
      <c r="FT278" s="15">
        <f>AN25</f>
        <v>10</v>
      </c>
    </row>
    <row r="279" spans="159:176" x14ac:dyDescent="0.25">
      <c r="FC279" s="1" t="s">
        <v>212</v>
      </c>
      <c r="FE279" s="1">
        <f t="shared" ref="FE279:FT279" si="65">FE278*FE278</f>
        <v>77353.040225376506</v>
      </c>
      <c r="FF279" s="1">
        <f t="shared" si="65"/>
        <v>0</v>
      </c>
      <c r="FG279" s="1">
        <f t="shared" si="65"/>
        <v>0</v>
      </c>
      <c r="FH279" s="1">
        <f t="shared" si="65"/>
        <v>0</v>
      </c>
      <c r="FI279" s="1">
        <f t="shared" si="65"/>
        <v>10000</v>
      </c>
      <c r="FJ279" s="1">
        <f t="shared" si="65"/>
        <v>6400</v>
      </c>
      <c r="FK279" s="1">
        <f t="shared" si="65"/>
        <v>3600</v>
      </c>
      <c r="FL279" s="1">
        <f t="shared" si="65"/>
        <v>900</v>
      </c>
      <c r="FM279" s="1">
        <f t="shared" si="65"/>
        <v>400</v>
      </c>
      <c r="FN279" s="1">
        <f t="shared" si="65"/>
        <v>100</v>
      </c>
      <c r="FO279" s="1">
        <f t="shared" si="65"/>
        <v>100</v>
      </c>
      <c r="FP279" s="1">
        <f t="shared" si="65"/>
        <v>100</v>
      </c>
      <c r="FQ279" s="1">
        <f t="shared" si="65"/>
        <v>0</v>
      </c>
      <c r="FR279" s="1">
        <f t="shared" si="65"/>
        <v>0</v>
      </c>
      <c r="FS279" s="1">
        <f t="shared" si="65"/>
        <v>100</v>
      </c>
      <c r="FT279" s="1">
        <f t="shared" si="65"/>
        <v>100</v>
      </c>
    </row>
    <row r="280" spans="159:176" ht="18" x14ac:dyDescent="0.35">
      <c r="FC280" s="1" t="s">
        <v>264</v>
      </c>
      <c r="FE280" s="12">
        <v>0</v>
      </c>
      <c r="FF280" s="12">
        <f t="shared" ref="FF280:FT280" si="66">1/(SQRT((1/$AJ$45^2)+(1/($AJ$39*FF277-$AJ$36/FF277)^2)))</f>
        <v>1.6018801345181028</v>
      </c>
      <c r="FG280" s="12">
        <f t="shared" si="66"/>
        <v>2.7824148651748049</v>
      </c>
      <c r="FH280" s="12">
        <f t="shared" si="66"/>
        <v>3.7916674429230794</v>
      </c>
      <c r="FI280" s="12">
        <f t="shared" si="66"/>
        <v>4.6729215602356104</v>
      </c>
      <c r="FJ280" s="12">
        <f t="shared" si="66"/>
        <v>6.1069561294293457</v>
      </c>
      <c r="FK280" s="12">
        <f t="shared" si="66"/>
        <v>7.9602869611070473</v>
      </c>
      <c r="FL280" s="12">
        <f t="shared" si="66"/>
        <v>8.5403545629014808</v>
      </c>
      <c r="FM280" s="12">
        <f t="shared" si="66"/>
        <v>9.2994348717493569</v>
      </c>
      <c r="FN280" s="12">
        <f t="shared" si="66"/>
        <v>9.5501822926375954</v>
      </c>
      <c r="FO280" s="12">
        <f t="shared" si="66"/>
        <v>9.900156873285427</v>
      </c>
      <c r="FP280" s="12">
        <f t="shared" si="66"/>
        <v>10.024099449905917</v>
      </c>
      <c r="FQ280" s="12">
        <f t="shared" si="66"/>
        <v>10.20748221533375</v>
      </c>
      <c r="FR280" s="12">
        <f t="shared" si="66"/>
        <v>10.276181367103819</v>
      </c>
      <c r="FS280" s="12">
        <f t="shared" si="66"/>
        <v>10.382542851689427</v>
      </c>
      <c r="FT280" s="12">
        <f t="shared" si="66"/>
        <v>10.424125302260562</v>
      </c>
    </row>
    <row r="281" spans="159:176" x14ac:dyDescent="0.25">
      <c r="FC281" s="1" t="s">
        <v>265</v>
      </c>
      <c r="FE281" s="1">
        <f t="shared" ref="FE281:FT281" si="67">FE280*FE278</f>
        <v>0</v>
      </c>
      <c r="FF281" s="1">
        <f t="shared" si="67"/>
        <v>0</v>
      </c>
      <c r="FG281" s="1">
        <f t="shared" si="67"/>
        <v>0</v>
      </c>
      <c r="FH281" s="1">
        <f t="shared" si="67"/>
        <v>0</v>
      </c>
      <c r="FI281" s="1">
        <f t="shared" si="67"/>
        <v>467.29215602356106</v>
      </c>
      <c r="FJ281" s="1">
        <f t="shared" si="67"/>
        <v>488.55649035434766</v>
      </c>
      <c r="FK281" s="1">
        <f t="shared" si="67"/>
        <v>477.61721766642285</v>
      </c>
      <c r="FL281" s="1">
        <f t="shared" si="67"/>
        <v>256.21063688704442</v>
      </c>
      <c r="FM281" s="1">
        <f t="shared" si="67"/>
        <v>185.98869743498713</v>
      </c>
      <c r="FN281" s="1">
        <f t="shared" si="67"/>
        <v>95.501822926375951</v>
      </c>
      <c r="FO281" s="1">
        <f t="shared" si="67"/>
        <v>99.001568732854267</v>
      </c>
      <c r="FP281" s="1">
        <f t="shared" si="67"/>
        <v>100.24099449905917</v>
      </c>
      <c r="FQ281" s="1">
        <f t="shared" si="67"/>
        <v>0</v>
      </c>
      <c r="FR281" s="1">
        <f t="shared" si="67"/>
        <v>0</v>
      </c>
      <c r="FS281" s="1">
        <f t="shared" si="67"/>
        <v>103.82542851689428</v>
      </c>
      <c r="FT281" s="1">
        <f t="shared" si="67"/>
        <v>104.24125302260562</v>
      </c>
    </row>
    <row r="282" spans="159:176" x14ac:dyDescent="0.25">
      <c r="FC282" s="1" t="s">
        <v>266</v>
      </c>
      <c r="FE282" s="57">
        <f>FE278</f>
        <v>278.12414534767834</v>
      </c>
      <c r="FF282" s="53">
        <f t="shared" ref="FF282:FT282" si="68">FF281/ABS($AJ$39*FF277-$AJ$36/FF277)</f>
        <v>0</v>
      </c>
      <c r="FG282" s="53">
        <f t="shared" si="68"/>
        <v>0</v>
      </c>
      <c r="FH282" s="53">
        <f t="shared" si="68"/>
        <v>0</v>
      </c>
      <c r="FI282" s="53">
        <f t="shared" si="68"/>
        <v>90.152305746827381</v>
      </c>
      <c r="FJ282" s="53">
        <f t="shared" si="68"/>
        <v>65.978308147678234</v>
      </c>
      <c r="FK282" s="53">
        <f t="shared" si="68"/>
        <v>40.543477711040772</v>
      </c>
      <c r="FL282" s="53">
        <f t="shared" si="68"/>
        <v>18.359498403628404</v>
      </c>
      <c r="FM282" s="53">
        <f t="shared" si="68"/>
        <v>10.166525905621061</v>
      </c>
      <c r="FN282" s="53">
        <f t="shared" si="68"/>
        <v>4.6675861955812286</v>
      </c>
      <c r="FO282" s="53">
        <f t="shared" si="68"/>
        <v>3.9936092989388388</v>
      </c>
      <c r="FP282" s="53">
        <f t="shared" si="68"/>
        <v>3.7190359014144887</v>
      </c>
      <c r="FQ282" s="53">
        <f t="shared" si="68"/>
        <v>0</v>
      </c>
      <c r="FR282" s="53">
        <f t="shared" si="68"/>
        <v>0</v>
      </c>
      <c r="FS282" s="53">
        <f t="shared" si="68"/>
        <v>2.7492861479495123</v>
      </c>
      <c r="FT282" s="53">
        <f t="shared" si="68"/>
        <v>2.6108675166147504</v>
      </c>
    </row>
    <row r="283" spans="159:176" x14ac:dyDescent="0.25">
      <c r="FC283" s="1" t="s">
        <v>267</v>
      </c>
      <c r="FE283" s="57">
        <f t="shared" ref="FE283:FT283" si="69">FE281/$AJ$45</f>
        <v>0</v>
      </c>
      <c r="FF283" s="57">
        <f t="shared" si="69"/>
        <v>0</v>
      </c>
      <c r="FG283" s="57">
        <f t="shared" si="69"/>
        <v>0</v>
      </c>
      <c r="FH283" s="57">
        <f t="shared" si="69"/>
        <v>0</v>
      </c>
      <c r="FI283" s="57">
        <f t="shared" si="69"/>
        <v>43.273106758477141</v>
      </c>
      <c r="FJ283" s="57">
        <f t="shared" si="69"/>
        <v>45.242268444122224</v>
      </c>
      <c r="FK283" s="57">
        <f t="shared" si="69"/>
        <v>44.229248412044484</v>
      </c>
      <c r="FL283" s="57">
        <f t="shared" si="69"/>
        <v>23.726121013919784</v>
      </c>
      <c r="FM283" s="57">
        <f t="shared" si="69"/>
        <v>17.22329094599333</v>
      </c>
      <c r="FN283" s="57">
        <f t="shared" si="69"/>
        <v>8.8438475284696967</v>
      </c>
      <c r="FO283" s="57">
        <f t="shared" si="69"/>
        <v>9.1679378688682913</v>
      </c>
      <c r="FP283" s="57">
        <f t="shared" si="69"/>
        <v>9.2827136099305658</v>
      </c>
      <c r="FQ283" s="57">
        <f t="shared" si="69"/>
        <v>0</v>
      </c>
      <c r="FR283" s="57">
        <f t="shared" si="69"/>
        <v>0</v>
      </c>
      <c r="FS283" s="57">
        <f t="shared" si="69"/>
        <v>9.6146464145434365</v>
      </c>
      <c r="FT283" s="57">
        <f t="shared" si="69"/>
        <v>9.6531534127810232</v>
      </c>
    </row>
    <row r="284" spans="159:176" x14ac:dyDescent="0.25">
      <c r="FC284" s="1" t="s">
        <v>268</v>
      </c>
      <c r="FE284" s="1">
        <f t="shared" ref="FE284:FT284" si="70">FE283*FE283</f>
        <v>0</v>
      </c>
      <c r="FF284" s="1">
        <f t="shared" si="70"/>
        <v>0</v>
      </c>
      <c r="FG284" s="1">
        <f t="shared" si="70"/>
        <v>0</v>
      </c>
      <c r="FH284" s="1">
        <f t="shared" si="70"/>
        <v>0</v>
      </c>
      <c r="FI284" s="1">
        <f t="shared" si="70"/>
        <v>1872.5617685305599</v>
      </c>
      <c r="FJ284" s="1">
        <f t="shared" si="70"/>
        <v>2046.8628539700176</v>
      </c>
      <c r="FK284" s="1">
        <f t="shared" si="70"/>
        <v>1956.2264150943395</v>
      </c>
      <c r="FL284" s="1">
        <f t="shared" si="70"/>
        <v>562.92881836716595</v>
      </c>
      <c r="FM284" s="1">
        <f t="shared" si="70"/>
        <v>296.64175101033584</v>
      </c>
      <c r="FN284" s="1">
        <f t="shared" si="70"/>
        <v>78.213639106819556</v>
      </c>
      <c r="FO284" s="1">
        <f t="shared" si="70"/>
        <v>84.051084767429273</v>
      </c>
      <c r="FP284" s="1">
        <f t="shared" si="70"/>
        <v>86.168771963990153</v>
      </c>
      <c r="FQ284" s="1">
        <f t="shared" si="70"/>
        <v>0</v>
      </c>
      <c r="FR284" s="1">
        <f t="shared" si="70"/>
        <v>0</v>
      </c>
      <c r="FS284" s="1">
        <f t="shared" si="70"/>
        <v>92.441425676692958</v>
      </c>
      <c r="FT284" s="1">
        <f t="shared" si="70"/>
        <v>93.183370810685915</v>
      </c>
    </row>
    <row r="285" spans="159:176" x14ac:dyDescent="0.25">
      <c r="FC285" s="1" t="s">
        <v>269</v>
      </c>
      <c r="FE285" s="1">
        <f t="shared" ref="FE285:FT285" si="71">FE283*FE283*$AJ$45/1000</f>
        <v>0</v>
      </c>
      <c r="FF285" s="1">
        <f t="shared" si="71"/>
        <v>0</v>
      </c>
      <c r="FG285" s="1">
        <f t="shared" si="71"/>
        <v>0</v>
      </c>
      <c r="FH285" s="1">
        <f t="shared" si="71"/>
        <v>0</v>
      </c>
      <c r="FI285" s="1">
        <f t="shared" si="71"/>
        <v>20.221183355006513</v>
      </c>
      <c r="FJ285" s="1">
        <f t="shared" si="71"/>
        <v>22.103403886729609</v>
      </c>
      <c r="FK285" s="1">
        <f t="shared" si="71"/>
        <v>21.124650566037737</v>
      </c>
      <c r="FL285" s="1">
        <f t="shared" si="71"/>
        <v>6.0788845758354757</v>
      </c>
      <c r="FM285" s="1">
        <f t="shared" si="71"/>
        <v>3.2033374485891066</v>
      </c>
      <c r="FN285" s="1">
        <f t="shared" si="71"/>
        <v>0.84460356065178055</v>
      </c>
      <c r="FO285" s="1">
        <f t="shared" si="71"/>
        <v>0.90764023106330172</v>
      </c>
      <c r="FP285" s="1">
        <f t="shared" si="71"/>
        <v>0.93050844390939158</v>
      </c>
      <c r="FQ285" s="1">
        <f t="shared" si="71"/>
        <v>0</v>
      </c>
      <c r="FR285" s="1">
        <f t="shared" si="71"/>
        <v>0</v>
      </c>
      <c r="FS285" s="1">
        <f t="shared" si="71"/>
        <v>0.99824478402839345</v>
      </c>
      <c r="FT285" s="1">
        <f t="shared" si="71"/>
        <v>1.0062568073677356</v>
      </c>
    </row>
    <row r="286" spans="159:176" x14ac:dyDescent="0.25">
      <c r="FC286" s="1" t="s">
        <v>270</v>
      </c>
      <c r="FE286" s="1">
        <f t="shared" ref="FE286:FT286" si="72">FE282*$AJ$36/FE277</f>
        <v>300.3371868978806</v>
      </c>
      <c r="FF286" s="1">
        <f t="shared" si="72"/>
        <v>0</v>
      </c>
      <c r="FG286" s="1">
        <f t="shared" si="72"/>
        <v>0</v>
      </c>
      <c r="FH286" s="1">
        <f t="shared" si="72"/>
        <v>0</v>
      </c>
      <c r="FI286" s="1">
        <f t="shared" si="72"/>
        <v>19.470506500981713</v>
      </c>
      <c r="FJ286" s="1">
        <f t="shared" si="72"/>
        <v>10.178260215715577</v>
      </c>
      <c r="FK286" s="1">
        <f t="shared" si="72"/>
        <v>3.9801434805535236</v>
      </c>
      <c r="FL286" s="1">
        <f t="shared" si="72"/>
        <v>1.5250633148038359</v>
      </c>
      <c r="FM286" s="1">
        <f t="shared" si="72"/>
        <v>0.64579408831592744</v>
      </c>
      <c r="FN286" s="1">
        <f t="shared" si="72"/>
        <v>0.26528284146215542</v>
      </c>
      <c r="FO286" s="1">
        <f t="shared" si="72"/>
        <v>0.18750297108495129</v>
      </c>
      <c r="FP286" s="1">
        <f t="shared" si="72"/>
        <v>0.16064261938951788</v>
      </c>
      <c r="FQ286" s="1">
        <f t="shared" si="72"/>
        <v>0</v>
      </c>
      <c r="FR286" s="1">
        <f t="shared" si="72"/>
        <v>0</v>
      </c>
      <c r="FS286" s="1">
        <f t="shared" si="72"/>
        <v>8.4824696500730642E-2</v>
      </c>
      <c r="FT286" s="1">
        <f t="shared" si="72"/>
        <v>7.6199746361553813E-2</v>
      </c>
    </row>
    <row r="287" spans="159:176" x14ac:dyDescent="0.25">
      <c r="FC287" s="1" t="s">
        <v>271</v>
      </c>
      <c r="FE287" s="1">
        <f t="shared" ref="FE287:FT287" si="73">FE286*FE286</f>
        <v>90202.425833732457</v>
      </c>
      <c r="FF287" s="1">
        <f t="shared" si="73"/>
        <v>0</v>
      </c>
      <c r="FG287" s="1">
        <f t="shared" si="73"/>
        <v>0</v>
      </c>
      <c r="FH287" s="1">
        <f t="shared" si="73"/>
        <v>0</v>
      </c>
      <c r="FI287" s="1">
        <f t="shared" si="73"/>
        <v>379.10062340477117</v>
      </c>
      <c r="FJ287" s="1">
        <f t="shared" si="73"/>
        <v>103.5969810188185</v>
      </c>
      <c r="FK287" s="1">
        <f t="shared" si="73"/>
        <v>15.841542125792717</v>
      </c>
      <c r="FL287" s="1">
        <f t="shared" si="73"/>
        <v>2.3258181141604641</v>
      </c>
      <c r="FM287" s="1">
        <f t="shared" si="73"/>
        <v>0.41705000450379986</v>
      </c>
      <c r="FN287" s="1">
        <f t="shared" si="73"/>
        <v>7.0374985974235083E-2</v>
      </c>
      <c r="FO287" s="1">
        <f t="shared" si="73"/>
        <v>3.5157364165684081E-2</v>
      </c>
      <c r="FP287" s="1">
        <f t="shared" si="73"/>
        <v>2.5806051164325505E-2</v>
      </c>
      <c r="FQ287" s="1">
        <f t="shared" si="73"/>
        <v>0</v>
      </c>
      <c r="FR287" s="1">
        <f t="shared" si="73"/>
        <v>0</v>
      </c>
      <c r="FS287" s="1">
        <f t="shared" si="73"/>
        <v>7.1952291364410651E-3</v>
      </c>
      <c r="FT287" s="1">
        <f t="shared" si="73"/>
        <v>5.8064013455651339E-3</v>
      </c>
    </row>
    <row r="288" spans="159:176" x14ac:dyDescent="0.25">
      <c r="FC288" s="1" t="s">
        <v>272</v>
      </c>
      <c r="FE288" s="1">
        <f t="shared" ref="FE288:FT288" si="74">FE282*FE282</f>
        <v>77353.040225376506</v>
      </c>
      <c r="FF288" s="1">
        <f t="shared" si="74"/>
        <v>0</v>
      </c>
      <c r="FG288" s="1">
        <f t="shared" si="74"/>
        <v>0</v>
      </c>
      <c r="FH288" s="1">
        <f t="shared" si="74"/>
        <v>0</v>
      </c>
      <c r="FI288" s="1">
        <f t="shared" si="74"/>
        <v>8127.4382314694449</v>
      </c>
      <c r="FJ288" s="1">
        <f t="shared" si="74"/>
        <v>4353.1371460299843</v>
      </c>
      <c r="FK288" s="1">
        <f t="shared" si="74"/>
        <v>1643.7735849056598</v>
      </c>
      <c r="FL288" s="1">
        <f t="shared" si="74"/>
        <v>337.07118163283388</v>
      </c>
      <c r="FM288" s="1">
        <f t="shared" si="74"/>
        <v>103.35824898966413</v>
      </c>
      <c r="FN288" s="1">
        <f t="shared" si="74"/>
        <v>21.786360893180447</v>
      </c>
      <c r="FO288" s="1">
        <f t="shared" si="74"/>
        <v>15.948915232570764</v>
      </c>
      <c r="FP288" s="1">
        <f t="shared" si="74"/>
        <v>13.831228036009879</v>
      </c>
      <c r="FQ288" s="1">
        <f t="shared" si="74"/>
        <v>0</v>
      </c>
      <c r="FR288" s="1">
        <f t="shared" si="74"/>
        <v>0</v>
      </c>
      <c r="FS288" s="1">
        <f t="shared" si="74"/>
        <v>7.5585743233070675</v>
      </c>
      <c r="FT288" s="1">
        <f t="shared" si="74"/>
        <v>6.8166291893140736</v>
      </c>
    </row>
    <row r="289" spans="159:176" x14ac:dyDescent="0.25">
      <c r="FC289" s="1" t="s">
        <v>273</v>
      </c>
      <c r="FE289" s="1">
        <f t="shared" ref="FE289:FT289" si="75">FE288*$AJ$36/(FE277*1000)</f>
        <v>83.531023422098983</v>
      </c>
      <c r="FF289" s="1">
        <f t="shared" si="75"/>
        <v>0</v>
      </c>
      <c r="FG289" s="1">
        <f t="shared" si="75"/>
        <v>0</v>
      </c>
      <c r="FH289" s="1">
        <f t="shared" si="75"/>
        <v>0</v>
      </c>
      <c r="FI289" s="1">
        <f t="shared" si="75"/>
        <v>1.7553110551220936</v>
      </c>
      <c r="FJ289" s="1">
        <f t="shared" si="75"/>
        <v>0.67154438891973622</v>
      </c>
      <c r="FK289" s="1">
        <f t="shared" si="75"/>
        <v>0.16136885849056604</v>
      </c>
      <c r="FL289" s="1">
        <f t="shared" si="75"/>
        <v>2.7999397493573264E-2</v>
      </c>
      <c r="FM289" s="1">
        <f t="shared" si="75"/>
        <v>6.5654823285608123E-3</v>
      </c>
      <c r="FN289" s="1">
        <f t="shared" si="75"/>
        <v>1.2382305287333203E-3</v>
      </c>
      <c r="FO289" s="1">
        <f t="shared" si="75"/>
        <v>7.4881360890352176E-4</v>
      </c>
      <c r="FP289" s="1">
        <f t="shared" si="75"/>
        <v>5.9743566880688032E-4</v>
      </c>
      <c r="FQ289" s="1">
        <f t="shared" si="75"/>
        <v>0</v>
      </c>
      <c r="FR289" s="1">
        <f t="shared" si="75"/>
        <v>0</v>
      </c>
      <c r="FS289" s="1">
        <f t="shared" si="75"/>
        <v>2.3320736309348023E-4</v>
      </c>
      <c r="FT289" s="1">
        <f t="shared" si="75"/>
        <v>1.9894744254966387E-4</v>
      </c>
    </row>
    <row r="290" spans="159:176" ht="17.25" x14ac:dyDescent="0.25">
      <c r="FC290" s="1" t="s">
        <v>274</v>
      </c>
      <c r="FE290" s="1">
        <f t="shared" ref="FE290:FT290" si="76">$AJ$39/$S$39*FE282*FE282</f>
        <v>835.31023422098974</v>
      </c>
      <c r="FF290" s="1">
        <f t="shared" si="76"/>
        <v>0</v>
      </c>
      <c r="FG290" s="1">
        <f t="shared" si="76"/>
        <v>0</v>
      </c>
      <c r="FH290" s="1">
        <f t="shared" si="76"/>
        <v>0</v>
      </c>
      <c r="FI290" s="1">
        <f t="shared" si="76"/>
        <v>87.765552756104668</v>
      </c>
      <c r="FJ290" s="1">
        <f t="shared" si="76"/>
        <v>47.008107224381533</v>
      </c>
      <c r="FK290" s="1">
        <f t="shared" si="76"/>
        <v>17.75057443396226</v>
      </c>
      <c r="FL290" s="1">
        <f t="shared" si="76"/>
        <v>3.6399216741645244</v>
      </c>
      <c r="FM290" s="1">
        <f t="shared" si="76"/>
        <v>1.116131995855338</v>
      </c>
      <c r="FN290" s="1">
        <f t="shared" si="76"/>
        <v>0.23526380045933085</v>
      </c>
      <c r="FO290" s="1">
        <f t="shared" si="76"/>
        <v>0.17222713004780996</v>
      </c>
      <c r="FP290" s="1">
        <f t="shared" si="76"/>
        <v>0.14935891720172007</v>
      </c>
      <c r="FQ290" s="1">
        <f t="shared" si="76"/>
        <v>0</v>
      </c>
      <c r="FR290" s="1">
        <f t="shared" si="76"/>
        <v>0</v>
      </c>
      <c r="FS290" s="1">
        <f t="shared" si="76"/>
        <v>8.162257708271807E-2</v>
      </c>
      <c r="FT290" s="1">
        <f t="shared" si="76"/>
        <v>7.3610553743375634E-2</v>
      </c>
    </row>
    <row r="304" spans="159:176" ht="21.75" customHeight="1" x14ac:dyDescent="0.25"/>
    <row r="305" spans="132:133" ht="18.75" customHeight="1" x14ac:dyDescent="0.25"/>
    <row r="315" spans="132:133" ht="15.75" x14ac:dyDescent="0.25">
      <c r="EB315" s="64"/>
      <c r="EC315" s="65"/>
    </row>
    <row r="316" spans="132:133" ht="15.75" x14ac:dyDescent="0.25">
      <c r="EB316" s="64"/>
      <c r="EC316" s="34"/>
    </row>
    <row r="326" spans="133:133" x14ac:dyDescent="0.25">
      <c r="EC326" s="34"/>
    </row>
  </sheetData>
  <sheetProtection algorithmName="SHA-512" hashValue="tSDTObHCjnNVL6EmAJdzAUnSCNYagelFPEn9CLWg6AD2JBqpw0lsKNVZgaP0JGgI4ETFI2LJuG5VwUfPbXdwCw==" saltValue="W5NeraKUsr9LIIGRwWylqQ==" spinCount="100000" sheet="1" objects="1" scenarios="1"/>
  <mergeCells count="481">
    <mergeCell ref="BV12:BZ12"/>
    <mergeCell ref="H13:W13"/>
    <mergeCell ref="AE13:AN13"/>
    <mergeCell ref="BF13:BL13"/>
    <mergeCell ref="BN13:BT13"/>
    <mergeCell ref="BV13:BZ13"/>
    <mergeCell ref="C7:AO8"/>
    <mergeCell ref="AS9:CE9"/>
    <mergeCell ref="BF10:BT10"/>
    <mergeCell ref="H11:W11"/>
    <mergeCell ref="AE11:AN11"/>
    <mergeCell ref="BF11:BL12"/>
    <mergeCell ref="BN11:BT12"/>
    <mergeCell ref="H12:W12"/>
    <mergeCell ref="AE12:AN12"/>
    <mergeCell ref="AT12:BD12"/>
    <mergeCell ref="D16:AO16"/>
    <mergeCell ref="BF16:BL16"/>
    <mergeCell ref="BN16:BT16"/>
    <mergeCell ref="BV16:BZ16"/>
    <mergeCell ref="S17:U17"/>
    <mergeCell ref="AK17:AM17"/>
    <mergeCell ref="BF14:BL14"/>
    <mergeCell ref="BN14:BT14"/>
    <mergeCell ref="BV14:BZ14"/>
    <mergeCell ref="BF15:BL15"/>
    <mergeCell ref="BN15:BT15"/>
    <mergeCell ref="BV15:BZ15"/>
    <mergeCell ref="E18:R18"/>
    <mergeCell ref="S18:U18"/>
    <mergeCell ref="AS18:BI18"/>
    <mergeCell ref="BJ18:BL18"/>
    <mergeCell ref="CA18:CC18"/>
    <mergeCell ref="E19:R19"/>
    <mergeCell ref="S19:U19"/>
    <mergeCell ref="AK19:AM19"/>
    <mergeCell ref="AS19:BI19"/>
    <mergeCell ref="BJ19:BL19"/>
    <mergeCell ref="C21:R21"/>
    <mergeCell ref="S21:U21"/>
    <mergeCell ref="AK21:AM21"/>
    <mergeCell ref="AS21:BI21"/>
    <mergeCell ref="BJ21:BL21"/>
    <mergeCell ref="BM21:BO21"/>
    <mergeCell ref="CA19:CC19"/>
    <mergeCell ref="E20:R20"/>
    <mergeCell ref="S20:U20"/>
    <mergeCell ref="AK20:AM20"/>
    <mergeCell ref="AS20:BI20"/>
    <mergeCell ref="BJ20:BL20"/>
    <mergeCell ref="BM20:BO20"/>
    <mergeCell ref="AS22:BI22"/>
    <mergeCell ref="BJ22:BL22"/>
    <mergeCell ref="BM22:BO22"/>
    <mergeCell ref="C23:AO23"/>
    <mergeCell ref="AS23:BI23"/>
    <mergeCell ref="BJ23:BL23"/>
    <mergeCell ref="BM23:BO23"/>
    <mergeCell ref="BJ24:BL24"/>
    <mergeCell ref="BM24:BO24"/>
    <mergeCell ref="AH24:AI24"/>
    <mergeCell ref="AJ24:AK24"/>
    <mergeCell ref="AL24:AM24"/>
    <mergeCell ref="AN24:AO24"/>
    <mergeCell ref="AS24:BI24"/>
    <mergeCell ref="AF24:AG24"/>
    <mergeCell ref="T24:U24"/>
    <mergeCell ref="V24:W24"/>
    <mergeCell ref="X24:Y24"/>
    <mergeCell ref="Z24:AA24"/>
    <mergeCell ref="AB24:AC24"/>
    <mergeCell ref="AD24:AE24"/>
    <mergeCell ref="C24:I24"/>
    <mergeCell ref="J24:K24"/>
    <mergeCell ref="L24:M24"/>
    <mergeCell ref="N24:O24"/>
    <mergeCell ref="P24:Q24"/>
    <mergeCell ref="R24:S24"/>
    <mergeCell ref="AJ25:AK25"/>
    <mergeCell ref="AL25:AM25"/>
    <mergeCell ref="AN25:AO25"/>
    <mergeCell ref="AS26:CE26"/>
    <mergeCell ref="C27:AO27"/>
    <mergeCell ref="BF27:BT27"/>
    <mergeCell ref="X25:Y25"/>
    <mergeCell ref="Z25:AA25"/>
    <mergeCell ref="AB25:AC25"/>
    <mergeCell ref="AD25:AE25"/>
    <mergeCell ref="AF25:AG25"/>
    <mergeCell ref="AH25:AI25"/>
    <mergeCell ref="C25:I25"/>
    <mergeCell ref="J25:K25"/>
    <mergeCell ref="L25:M25"/>
    <mergeCell ref="N25:O25"/>
    <mergeCell ref="P25:Q25"/>
    <mergeCell ref="R25:S25"/>
    <mergeCell ref="T25:U25"/>
    <mergeCell ref="V25:W25"/>
    <mergeCell ref="BV29:BZ29"/>
    <mergeCell ref="AJ30:AL30"/>
    <mergeCell ref="BF30:BL30"/>
    <mergeCell ref="BN30:BT30"/>
    <mergeCell ref="BV30:BZ30"/>
    <mergeCell ref="B28:R28"/>
    <mergeCell ref="S28:U28"/>
    <mergeCell ref="AJ28:AL28"/>
    <mergeCell ref="BF28:BL29"/>
    <mergeCell ref="BN28:BT29"/>
    <mergeCell ref="B29:R29"/>
    <mergeCell ref="S29:U29"/>
    <mergeCell ref="AJ29:AL29"/>
    <mergeCell ref="AT29:BD29"/>
    <mergeCell ref="BV33:BZ33"/>
    <mergeCell ref="C34:R34"/>
    <mergeCell ref="S34:U34"/>
    <mergeCell ref="AJ34:AL34"/>
    <mergeCell ref="AM34:AN34"/>
    <mergeCell ref="AJ31:AL31"/>
    <mergeCell ref="BF31:BL31"/>
    <mergeCell ref="BN31:BT31"/>
    <mergeCell ref="BV31:BZ31"/>
    <mergeCell ref="BF32:BL32"/>
    <mergeCell ref="BN32:BT32"/>
    <mergeCell ref="BV32:BZ32"/>
    <mergeCell ref="B35:R35"/>
    <mergeCell ref="S35:U35"/>
    <mergeCell ref="AJ35:AL35"/>
    <mergeCell ref="AM35:AN35"/>
    <mergeCell ref="AS35:BI35"/>
    <mergeCell ref="BJ35:BL35"/>
    <mergeCell ref="C32:AO32"/>
    <mergeCell ref="BF33:BL33"/>
    <mergeCell ref="BN33:BT33"/>
    <mergeCell ref="AJ36:AL36"/>
    <mergeCell ref="AS36:BI36"/>
    <mergeCell ref="BJ36:BL36"/>
    <mergeCell ref="CA36:CC36"/>
    <mergeCell ref="AJ37:AL37"/>
    <mergeCell ref="AS37:BI37"/>
    <mergeCell ref="BJ37:BL37"/>
    <mergeCell ref="BM37:BO37"/>
    <mergeCell ref="CA37:CC37"/>
    <mergeCell ref="BM39:BO39"/>
    <mergeCell ref="S40:U40"/>
    <mergeCell ref="V40:AI40"/>
    <mergeCell ref="AJ40:AL40"/>
    <mergeCell ref="AS40:BI40"/>
    <mergeCell ref="BJ40:BL40"/>
    <mergeCell ref="BM40:BO40"/>
    <mergeCell ref="C38:AO38"/>
    <mergeCell ref="AS38:BI38"/>
    <mergeCell ref="BJ38:BL38"/>
    <mergeCell ref="BM38:BO38"/>
    <mergeCell ref="C39:R39"/>
    <mergeCell ref="S39:U39"/>
    <mergeCell ref="W39:AI39"/>
    <mergeCell ref="AJ39:AL39"/>
    <mergeCell ref="AS39:BI39"/>
    <mergeCell ref="BJ39:BL39"/>
    <mergeCell ref="AS58:CE58"/>
    <mergeCell ref="CR60:CU60"/>
    <mergeCell ref="O45:Q45"/>
    <mergeCell ref="AJ45:AL45"/>
    <mergeCell ref="O46:Q46"/>
    <mergeCell ref="AJ46:AL46"/>
    <mergeCell ref="AS54:BG54"/>
    <mergeCell ref="C56:AO56"/>
    <mergeCell ref="S41:U41"/>
    <mergeCell ref="AS41:BI41"/>
    <mergeCell ref="BJ41:BL41"/>
    <mergeCell ref="BM41:BO41"/>
    <mergeCell ref="C43:AO43"/>
    <mergeCell ref="S44:U44"/>
    <mergeCell ref="CV60:CX60"/>
    <mergeCell ref="C61:G61"/>
    <mergeCell ref="I61:L61"/>
    <mergeCell ref="N61:Q61"/>
    <mergeCell ref="S61:V61"/>
    <mergeCell ref="X61:AB61"/>
    <mergeCell ref="AD61:AH61"/>
    <mergeCell ref="AJ61:AN61"/>
    <mergeCell ref="CL61:CN61"/>
    <mergeCell ref="CO61:CQ61"/>
    <mergeCell ref="C59:G60"/>
    <mergeCell ref="AD59:AH60"/>
    <mergeCell ref="AJ59:AN60"/>
    <mergeCell ref="AS59:CE59"/>
    <mergeCell ref="CL60:CN60"/>
    <mergeCell ref="CO60:CQ60"/>
    <mergeCell ref="CL56:CN59"/>
    <mergeCell ref="CO56:CQ59"/>
    <mergeCell ref="CR56:CU59"/>
    <mergeCell ref="CV56:CX59"/>
    <mergeCell ref="X57:AB60"/>
    <mergeCell ref="I58:L60"/>
    <mergeCell ref="N58:Q60"/>
    <mergeCell ref="S58:V60"/>
    <mergeCell ref="C65:G65"/>
    <mergeCell ref="I65:L65"/>
    <mergeCell ref="N65:Q65"/>
    <mergeCell ref="S65:V65"/>
    <mergeCell ref="X65:AB65"/>
    <mergeCell ref="AD65:AH65"/>
    <mergeCell ref="AJ65:AN65"/>
    <mergeCell ref="CR61:CU61"/>
    <mergeCell ref="CV61:CX61"/>
    <mergeCell ref="C62:G62"/>
    <mergeCell ref="I62:L62"/>
    <mergeCell ref="N62:Q62"/>
    <mergeCell ref="S62:V62"/>
    <mergeCell ref="X62:AB62"/>
    <mergeCell ref="AD62:AH62"/>
    <mergeCell ref="AJ62:AN62"/>
    <mergeCell ref="CL62:CN62"/>
    <mergeCell ref="CO62:CQ62"/>
    <mergeCell ref="CR62:CU62"/>
    <mergeCell ref="CV62:CX62"/>
    <mergeCell ref="CL63:CN63"/>
    <mergeCell ref="CO63:CQ63"/>
    <mergeCell ref="CR63:CU63"/>
    <mergeCell ref="CV63:CX63"/>
    <mergeCell ref="C64:G64"/>
    <mergeCell ref="I64:L64"/>
    <mergeCell ref="N64:Q64"/>
    <mergeCell ref="S64:V64"/>
    <mergeCell ref="X64:AB64"/>
    <mergeCell ref="AD64:AH64"/>
    <mergeCell ref="C63:G63"/>
    <mergeCell ref="I63:L63"/>
    <mergeCell ref="N63:Q63"/>
    <mergeCell ref="S63:V63"/>
    <mergeCell ref="X63:AB63"/>
    <mergeCell ref="AD63:AH63"/>
    <mergeCell ref="AJ63:AN63"/>
    <mergeCell ref="CL65:CN65"/>
    <mergeCell ref="CO65:CQ65"/>
    <mergeCell ref="CR65:CU65"/>
    <mergeCell ref="CV65:CX65"/>
    <mergeCell ref="AJ64:AN64"/>
    <mergeCell ref="CL64:CN64"/>
    <mergeCell ref="CO64:CQ64"/>
    <mergeCell ref="CR64:CU64"/>
    <mergeCell ref="CV64:CX64"/>
    <mergeCell ref="C67:G67"/>
    <mergeCell ref="I67:L67"/>
    <mergeCell ref="N67:Q67"/>
    <mergeCell ref="S67:V67"/>
    <mergeCell ref="X67:AB67"/>
    <mergeCell ref="C66:G66"/>
    <mergeCell ref="I66:L66"/>
    <mergeCell ref="N66:Q66"/>
    <mergeCell ref="S66:V66"/>
    <mergeCell ref="X66:AB66"/>
    <mergeCell ref="AD67:AH67"/>
    <mergeCell ref="AJ67:AN67"/>
    <mergeCell ref="CL67:CN67"/>
    <mergeCell ref="CO67:CQ67"/>
    <mergeCell ref="CR67:CU67"/>
    <mergeCell ref="CV67:CX67"/>
    <mergeCell ref="AJ66:AN66"/>
    <mergeCell ref="CL66:CN66"/>
    <mergeCell ref="CO66:CQ66"/>
    <mergeCell ref="CR66:CU66"/>
    <mergeCell ref="CV66:CX66"/>
    <mergeCell ref="AD66:AH66"/>
    <mergeCell ref="C69:G69"/>
    <mergeCell ref="I69:L69"/>
    <mergeCell ref="N69:Q69"/>
    <mergeCell ref="S69:V69"/>
    <mergeCell ref="X69:AB69"/>
    <mergeCell ref="C68:G68"/>
    <mergeCell ref="I68:L68"/>
    <mergeCell ref="N68:Q68"/>
    <mergeCell ref="S68:V68"/>
    <mergeCell ref="X68:AB68"/>
    <mergeCell ref="AD69:AH69"/>
    <mergeCell ref="AJ69:AN69"/>
    <mergeCell ref="CL69:CN69"/>
    <mergeCell ref="CO69:CQ69"/>
    <mergeCell ref="CR69:CU69"/>
    <mergeCell ref="CV69:CX69"/>
    <mergeCell ref="AJ68:AN68"/>
    <mergeCell ref="CL68:CN68"/>
    <mergeCell ref="CO68:CQ68"/>
    <mergeCell ref="CR68:CU68"/>
    <mergeCell ref="CV68:CX68"/>
    <mergeCell ref="AD68:AH68"/>
    <mergeCell ref="C71:G71"/>
    <mergeCell ref="I71:L71"/>
    <mergeCell ref="N71:Q71"/>
    <mergeCell ref="S71:V71"/>
    <mergeCell ref="X71:AB71"/>
    <mergeCell ref="C70:G70"/>
    <mergeCell ref="I70:L70"/>
    <mergeCell ref="N70:Q70"/>
    <mergeCell ref="S70:V70"/>
    <mergeCell ref="X70:AB70"/>
    <mergeCell ref="AD71:AH71"/>
    <mergeCell ref="AJ71:AN71"/>
    <mergeCell ref="CL71:CN71"/>
    <mergeCell ref="CO71:CQ71"/>
    <mergeCell ref="CR71:CU71"/>
    <mergeCell ref="CV71:CX71"/>
    <mergeCell ref="AJ70:AN70"/>
    <mergeCell ref="CL70:CN70"/>
    <mergeCell ref="CO70:CQ70"/>
    <mergeCell ref="CR70:CU70"/>
    <mergeCell ref="CV70:CX70"/>
    <mergeCell ref="AD70:AH70"/>
    <mergeCell ref="C73:G73"/>
    <mergeCell ref="I73:L73"/>
    <mergeCell ref="N73:Q73"/>
    <mergeCell ref="S73:V73"/>
    <mergeCell ref="X73:AB73"/>
    <mergeCell ref="C72:G72"/>
    <mergeCell ref="I72:L72"/>
    <mergeCell ref="N72:Q72"/>
    <mergeCell ref="S72:V72"/>
    <mergeCell ref="X72:AB72"/>
    <mergeCell ref="AD73:AH73"/>
    <mergeCell ref="AJ73:AN73"/>
    <mergeCell ref="CL73:CN73"/>
    <mergeCell ref="CO73:CQ73"/>
    <mergeCell ref="CR73:CU73"/>
    <mergeCell ref="CV73:CX73"/>
    <mergeCell ref="AJ72:AN72"/>
    <mergeCell ref="CL72:CN72"/>
    <mergeCell ref="CO72:CQ72"/>
    <mergeCell ref="CR72:CU72"/>
    <mergeCell ref="CV72:CX72"/>
    <mergeCell ref="AD72:AH72"/>
    <mergeCell ref="C75:G75"/>
    <mergeCell ref="I75:L75"/>
    <mergeCell ref="N75:Q75"/>
    <mergeCell ref="S75:V75"/>
    <mergeCell ref="X75:AB75"/>
    <mergeCell ref="C74:G74"/>
    <mergeCell ref="I74:L74"/>
    <mergeCell ref="N74:Q74"/>
    <mergeCell ref="S74:V74"/>
    <mergeCell ref="X74:AB74"/>
    <mergeCell ref="AD75:AH75"/>
    <mergeCell ref="AJ75:AN75"/>
    <mergeCell ref="CL75:CN75"/>
    <mergeCell ref="CO75:CQ75"/>
    <mergeCell ref="CR75:CU75"/>
    <mergeCell ref="CV75:CX75"/>
    <mergeCell ref="AJ74:AN74"/>
    <mergeCell ref="CL74:CN74"/>
    <mergeCell ref="CO74:CQ74"/>
    <mergeCell ref="CR74:CU74"/>
    <mergeCell ref="CV74:CX74"/>
    <mergeCell ref="AD74:AH74"/>
    <mergeCell ref="D106:AN106"/>
    <mergeCell ref="AS107:CE107"/>
    <mergeCell ref="X108:AO108"/>
    <mergeCell ref="AT108:BG108"/>
    <mergeCell ref="BH108:BK108"/>
    <mergeCell ref="AT109:BG109"/>
    <mergeCell ref="BH109:BK109"/>
    <mergeCell ref="AJ76:AN76"/>
    <mergeCell ref="CL76:CN76"/>
    <mergeCell ref="I77:L77"/>
    <mergeCell ref="N77:Q77"/>
    <mergeCell ref="S77:V77"/>
    <mergeCell ref="X77:AB77"/>
    <mergeCell ref="AD77:AH77"/>
    <mergeCell ref="AJ77:AN77"/>
    <mergeCell ref="C76:G76"/>
    <mergeCell ref="I76:L76"/>
    <mergeCell ref="N76:Q76"/>
    <mergeCell ref="S76:V76"/>
    <mergeCell ref="X76:AB76"/>
    <mergeCell ref="AD76:AH76"/>
    <mergeCell ref="AT113:BG113"/>
    <mergeCell ref="BH113:BK113"/>
    <mergeCell ref="D114:G114"/>
    <mergeCell ref="H114:K114"/>
    <mergeCell ref="W114:Y114"/>
    <mergeCell ref="AT114:BG114"/>
    <mergeCell ref="BH114:BK114"/>
    <mergeCell ref="H110:O110"/>
    <mergeCell ref="AT110:BG110"/>
    <mergeCell ref="BH110:BK110"/>
    <mergeCell ref="AT111:BG111"/>
    <mergeCell ref="BH111:BK111"/>
    <mergeCell ref="D112:K112"/>
    <mergeCell ref="M112:AO112"/>
    <mergeCell ref="AT112:BG112"/>
    <mergeCell ref="BH112:BK112"/>
    <mergeCell ref="D115:G115"/>
    <mergeCell ref="H115:K115"/>
    <mergeCell ref="W115:Y115"/>
    <mergeCell ref="D116:G116"/>
    <mergeCell ref="H116:K116"/>
    <mergeCell ref="W116:Y116"/>
    <mergeCell ref="D113:G113"/>
    <mergeCell ref="H113:K113"/>
    <mergeCell ref="W113:Y113"/>
    <mergeCell ref="AT118:BG118"/>
    <mergeCell ref="BH118:BK118"/>
    <mergeCell ref="D119:G119"/>
    <mergeCell ref="H119:K119"/>
    <mergeCell ref="W119:Y119"/>
    <mergeCell ref="AT119:BG119"/>
    <mergeCell ref="BH119:BK119"/>
    <mergeCell ref="AS116:CE116"/>
    <mergeCell ref="D117:G117"/>
    <mergeCell ref="H117:K117"/>
    <mergeCell ref="W117:Y117"/>
    <mergeCell ref="AT117:BG117"/>
    <mergeCell ref="BH117:BK117"/>
    <mergeCell ref="D120:G120"/>
    <mergeCell ref="H120:K120"/>
    <mergeCell ref="W120:Y120"/>
    <mergeCell ref="D121:G121"/>
    <mergeCell ref="H121:K121"/>
    <mergeCell ref="W121:AN121"/>
    <mergeCell ref="D118:G118"/>
    <mergeCell ref="H118:K118"/>
    <mergeCell ref="W118:Y118"/>
    <mergeCell ref="D124:G124"/>
    <mergeCell ref="H124:K124"/>
    <mergeCell ref="W124:AE124"/>
    <mergeCell ref="D125:G125"/>
    <mergeCell ref="H125:K125"/>
    <mergeCell ref="W125:AE125"/>
    <mergeCell ref="AT121:BG121"/>
    <mergeCell ref="BH121:BK121"/>
    <mergeCell ref="D122:G122"/>
    <mergeCell ref="H122:K122"/>
    <mergeCell ref="W122:Y122"/>
    <mergeCell ref="D123:G123"/>
    <mergeCell ref="H123:K123"/>
    <mergeCell ref="W123:Y123"/>
    <mergeCell ref="D128:G128"/>
    <mergeCell ref="H128:K128"/>
    <mergeCell ref="D129:G129"/>
    <mergeCell ref="H129:K129"/>
    <mergeCell ref="D130:G130"/>
    <mergeCell ref="H130:K130"/>
    <mergeCell ref="D126:G126"/>
    <mergeCell ref="H126:K126"/>
    <mergeCell ref="W126:AE126"/>
    <mergeCell ref="D127:G127"/>
    <mergeCell ref="H127:K127"/>
    <mergeCell ref="W127:AE127"/>
    <mergeCell ref="AU156:BA156"/>
    <mergeCell ref="AU157:BA157"/>
    <mergeCell ref="AU158:BA158"/>
    <mergeCell ref="AU159:BA159"/>
    <mergeCell ref="C131:AO131"/>
    <mergeCell ref="C132:AO135"/>
    <mergeCell ref="C136:AO136"/>
    <mergeCell ref="C137:AO139"/>
    <mergeCell ref="C141:AO141"/>
    <mergeCell ref="C142:AO145"/>
    <mergeCell ref="FC1:FM1"/>
    <mergeCell ref="J36:U36"/>
    <mergeCell ref="J30:U30"/>
    <mergeCell ref="AU173:BA173"/>
    <mergeCell ref="AU174:BA174"/>
    <mergeCell ref="AU175:BA175"/>
    <mergeCell ref="AU176:BA176"/>
    <mergeCell ref="C186:L188"/>
    <mergeCell ref="AT166:BA166"/>
    <mergeCell ref="AU167:BA167"/>
    <mergeCell ref="AU168:BA168"/>
    <mergeCell ref="AU169:BA169"/>
    <mergeCell ref="C170:AN171"/>
    <mergeCell ref="AU172:BA172"/>
    <mergeCell ref="AS182:CE182"/>
    <mergeCell ref="AS183:CE187"/>
    <mergeCell ref="AU160:BA160"/>
    <mergeCell ref="AU161:BA161"/>
    <mergeCell ref="AU162:BA162"/>
    <mergeCell ref="AU163:BA163"/>
    <mergeCell ref="AU164:BA164"/>
    <mergeCell ref="AU165:BA165"/>
    <mergeCell ref="AS154:CE154"/>
    <mergeCell ref="AU155:BA155"/>
  </mergeCells>
  <conditionalFormatting sqref="BF13 BF30">
    <cfRule type="cellIs" dxfId="24" priority="7" operator="greaterThan">
      <formula>$BV$13</formula>
    </cfRule>
  </conditionalFormatting>
  <conditionalFormatting sqref="BF13 BN13">
    <cfRule type="cellIs" dxfId="23" priority="8" operator="lessThan">
      <formula>$BV$13</formula>
    </cfRule>
    <cfRule type="cellIs" dxfId="22" priority="9" operator="greaterThan">
      <formula>$BV$13</formula>
    </cfRule>
    <cfRule type="cellIs" dxfId="21" priority="10" operator="lessThan">
      <formula>0.855</formula>
    </cfRule>
    <cfRule type="cellIs" dxfId="20" priority="11" operator="lessThan">
      <formula>$BV$13</formula>
    </cfRule>
    <cfRule type="cellIs" dxfId="19" priority="12" operator="greaterThan">
      <formula>$BV$13</formula>
    </cfRule>
  </conditionalFormatting>
  <conditionalFormatting sqref="BF14 BF31">
    <cfRule type="cellIs" dxfId="18" priority="13" operator="greaterThan">
      <formula>$BV$14</formula>
    </cfRule>
  </conditionalFormatting>
  <conditionalFormatting sqref="BF14 BN14">
    <cfRule type="cellIs" dxfId="17" priority="14" operator="lessThan">
      <formula>$BV$14</formula>
    </cfRule>
    <cfRule type="cellIs" dxfId="16" priority="15" operator="greaterThan">
      <formula>$BV$14</formula>
    </cfRule>
    <cfRule type="cellIs" dxfId="15" priority="16" operator="lessThan">
      <formula>0.927</formula>
    </cfRule>
  </conditionalFormatting>
  <conditionalFormatting sqref="BF15 BF32">
    <cfRule type="cellIs" dxfId="14" priority="1" operator="greaterThan">
      <formula>$BV$15</formula>
    </cfRule>
  </conditionalFormatting>
  <conditionalFormatting sqref="BF16 BF33">
    <cfRule type="cellIs" dxfId="13" priority="4" operator="greaterThan">
      <formula>$BV$16</formula>
    </cfRule>
  </conditionalFormatting>
  <conditionalFormatting sqref="BF30 BN30">
    <cfRule type="cellIs" dxfId="12" priority="18" operator="greaterThan">
      <formula>$BV$30</formula>
    </cfRule>
    <cfRule type="cellIs" dxfId="11" priority="19" operator="lessThan">
      <formula>"116.0%$F$68"</formula>
    </cfRule>
  </conditionalFormatting>
  <conditionalFormatting sqref="BF30">
    <cfRule type="cellIs" dxfId="10" priority="17" operator="greaterThan">
      <formula>$BV$13</formula>
    </cfRule>
  </conditionalFormatting>
  <conditionalFormatting sqref="BF31 BN31">
    <cfRule type="cellIs" dxfId="9" priority="20" operator="greaterThan">
      <formula>$BV$31</formula>
    </cfRule>
    <cfRule type="cellIs" dxfId="8" priority="21" operator="lessThan">
      <formula>$BV$31</formula>
    </cfRule>
  </conditionalFormatting>
  <conditionalFormatting sqref="BF32 BN32">
    <cfRule type="cellIs" dxfId="7" priority="22" operator="greaterThan">
      <formula>$BV$32</formula>
    </cfRule>
    <cfRule type="cellIs" dxfId="6" priority="23" operator="lessThan">
      <formula>$BV$32</formula>
    </cfRule>
  </conditionalFormatting>
  <conditionalFormatting sqref="BF33 BN33">
    <cfRule type="cellIs" dxfId="5" priority="24" operator="greaterThan">
      <formula>$BV$33</formula>
    </cfRule>
    <cfRule type="cellIs" dxfId="4" priority="25" operator="lessThan">
      <formula>$BV$33</formula>
    </cfRule>
  </conditionalFormatting>
  <conditionalFormatting sqref="BN15 BF15">
    <cfRule type="cellIs" dxfId="3" priority="3" operator="lessThan">
      <formula>$BV$15</formula>
    </cfRule>
  </conditionalFormatting>
  <conditionalFormatting sqref="BN15">
    <cfRule type="cellIs" dxfId="2" priority="2" operator="greaterThan">
      <formula>$BV$15</formula>
    </cfRule>
  </conditionalFormatting>
  <conditionalFormatting sqref="BN16 BF16">
    <cfRule type="cellIs" dxfId="1" priority="6" operator="lessThan">
      <formula>$BV$16</formula>
    </cfRule>
  </conditionalFormatting>
  <conditionalFormatting sqref="BN16">
    <cfRule type="cellIs" dxfId="0" priority="5" operator="greaterThan">
      <formula>$BV$16</formula>
    </cfRule>
  </conditionalFormatting>
  <dataValidations count="2">
    <dataValidation allowBlank="1" showErrorMessage="1" sqref="S17:U17" xr:uid="{93827615-75B0-457F-BD34-453410625666}"/>
    <dataValidation type="list" allowBlank="1" showInputMessage="1" showErrorMessage="1" sqref="D36:J36 V36:Z36 J30:U30" xr:uid="{952D0B62-135E-4D7A-8713-B1013F84676C}">
      <formula1>$FS$3:$FS$5</formula1>
    </dataValidation>
  </dataValidations>
  <printOptions horizontalCentered="1" verticalCentered="1"/>
  <pageMargins left="0.2" right="0.2" top="0.205416666666667" bottom="0.3" header="0" footer="0"/>
  <pageSetup scale="90" orientation="portrait" r:id="rId1"/>
  <headerFooter>
    <oddHeader xml:space="preserve">&amp;L
&amp;R       </oddHeader>
  </headerFooter>
  <rowBreaks count="2" manualBreakCount="2">
    <brk id="63" max="16383" man="1"/>
    <brk id="14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03BFD-ED11-4231-A603-ADB28876D4E0}">
  <sheetPr codeName="Sheet4">
    <pageSetUpPr fitToPage="1"/>
  </sheetPr>
  <dimension ref="B1:AP405"/>
  <sheetViews>
    <sheetView zoomScaleNormal="100" workbookViewId="0"/>
  </sheetViews>
  <sheetFormatPr defaultRowHeight="15" x14ac:dyDescent="0.25"/>
  <cols>
    <col min="1" max="240" width="2.7109375" style="1" customWidth="1"/>
    <col min="241" max="16384" width="9.140625" style="1"/>
  </cols>
  <sheetData>
    <row r="1" spans="2:42" ht="18" customHeight="1" x14ac:dyDescent="0.25"/>
    <row r="2" spans="2:42" ht="18" customHeight="1" x14ac:dyDescent="0.25">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5"/>
    </row>
    <row r="3" spans="2:42" ht="18" customHeight="1" x14ac:dyDescent="0.25">
      <c r="B3" s="6"/>
      <c r="AO3" s="7" t="s">
        <v>341</v>
      </c>
      <c r="AP3" s="8"/>
    </row>
    <row r="4" spans="2:42" ht="18" customHeight="1" x14ac:dyDescent="0.25">
      <c r="B4" s="6"/>
      <c r="AO4" s="9" t="s">
        <v>4</v>
      </c>
      <c r="AP4" s="8"/>
    </row>
    <row r="5" spans="2:42" ht="18" customHeight="1" x14ac:dyDescent="0.25">
      <c r="B5" s="6"/>
      <c r="AO5" s="9" t="s">
        <v>12</v>
      </c>
      <c r="AP5" s="8"/>
    </row>
    <row r="6" spans="2:42" ht="18" customHeight="1" thickBot="1" x14ac:dyDescent="0.3">
      <c r="B6" s="6"/>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G6" s="10"/>
      <c r="AH6" s="10"/>
      <c r="AI6" s="10"/>
      <c r="AJ6" s="10"/>
      <c r="AK6" s="10"/>
      <c r="AL6" s="10"/>
      <c r="AM6" s="10"/>
      <c r="AN6" s="10"/>
      <c r="AO6" s="11" t="s">
        <v>13</v>
      </c>
      <c r="AP6" s="8"/>
    </row>
    <row r="7" spans="2:42" ht="18" customHeight="1" x14ac:dyDescent="0.25">
      <c r="B7" s="6"/>
      <c r="C7" s="188" t="s">
        <v>275</v>
      </c>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8"/>
    </row>
    <row r="8" spans="2:42" ht="18" customHeight="1" x14ac:dyDescent="0.25">
      <c r="B8" s="6"/>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8"/>
    </row>
    <row r="9" spans="2:42" ht="18" customHeight="1" x14ac:dyDescent="0.25">
      <c r="B9" s="20"/>
      <c r="D9" s="21"/>
      <c r="E9" s="22"/>
      <c r="F9" s="22"/>
      <c r="G9" s="22"/>
      <c r="H9" s="22"/>
      <c r="I9" s="23"/>
      <c r="J9" s="24"/>
      <c r="K9" s="24"/>
      <c r="L9" s="24"/>
      <c r="M9" s="24"/>
      <c r="N9" s="24"/>
      <c r="O9" s="24"/>
      <c r="P9" s="24"/>
      <c r="Q9" s="24"/>
      <c r="R9" s="24"/>
      <c r="S9" s="24"/>
      <c r="T9" s="24"/>
      <c r="U9" s="24"/>
      <c r="V9" s="24"/>
      <c r="W9" s="24"/>
      <c r="X9" s="24"/>
      <c r="Y9" s="24"/>
      <c r="Z9" s="24"/>
      <c r="AA9" s="24"/>
      <c r="AB9" s="24"/>
      <c r="AC9" s="24" t="s">
        <v>11</v>
      </c>
      <c r="AD9" s="24"/>
      <c r="AE9" s="24"/>
      <c r="AG9" s="25"/>
      <c r="AH9" s="25"/>
      <c r="AI9" s="25"/>
      <c r="AJ9" s="25"/>
      <c r="AK9" s="25"/>
      <c r="AL9" s="25"/>
      <c r="AM9" s="25"/>
      <c r="AN9" s="26" t="s">
        <v>276</v>
      </c>
      <c r="AO9" s="25"/>
      <c r="AP9" s="8"/>
    </row>
    <row r="10" spans="2:42" ht="18" customHeight="1" x14ac:dyDescent="0.25">
      <c r="B10" s="6"/>
      <c r="AP10" s="8"/>
    </row>
    <row r="11" spans="2:42" ht="18" customHeight="1" x14ac:dyDescent="0.25">
      <c r="B11" s="6"/>
      <c r="C11" s="16" t="s">
        <v>277</v>
      </c>
      <c r="AP11" s="8"/>
    </row>
    <row r="12" spans="2:42" ht="18" customHeight="1" x14ac:dyDescent="0.25">
      <c r="B12" s="6"/>
      <c r="AP12" s="8"/>
    </row>
    <row r="13" spans="2:42" ht="18" customHeight="1" x14ac:dyDescent="0.25">
      <c r="B13" s="6"/>
      <c r="C13" s="96" t="s">
        <v>278</v>
      </c>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8"/>
    </row>
    <row r="14" spans="2:42" ht="18" customHeight="1" x14ac:dyDescent="0.25">
      <c r="B14" s="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8"/>
    </row>
    <row r="15" spans="2:42" ht="18" customHeight="1" x14ac:dyDescent="0.25">
      <c r="B15" s="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8"/>
    </row>
    <row r="16" spans="2:42" ht="18" customHeight="1" x14ac:dyDescent="0.25">
      <c r="B16" s="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8"/>
    </row>
    <row r="17" spans="2:42" ht="18" customHeight="1" x14ac:dyDescent="0.25">
      <c r="B17" s="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8"/>
    </row>
    <row r="18" spans="2:42" ht="18" customHeight="1" x14ac:dyDescent="0.25">
      <c r="B18" s="6"/>
      <c r="AP18" s="8"/>
    </row>
    <row r="19" spans="2:42" ht="18" customHeight="1" x14ac:dyDescent="0.25">
      <c r="B19" s="6"/>
      <c r="C19" s="16" t="s">
        <v>279</v>
      </c>
      <c r="AP19" s="8"/>
    </row>
    <row r="20" spans="2:42" ht="18" customHeight="1" x14ac:dyDescent="0.25">
      <c r="B20" s="6"/>
      <c r="AP20" s="8"/>
    </row>
    <row r="21" spans="2:42" ht="18" customHeight="1" x14ac:dyDescent="0.25">
      <c r="B21" s="6"/>
      <c r="C21" s="218" t="s">
        <v>280</v>
      </c>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8"/>
    </row>
    <row r="22" spans="2:42" ht="18" customHeight="1" x14ac:dyDescent="0.25">
      <c r="B22" s="6"/>
      <c r="AP22" s="8"/>
    </row>
    <row r="23" spans="2:42" ht="18" customHeight="1" x14ac:dyDescent="0.25">
      <c r="B23" s="6"/>
      <c r="T23" s="29" t="s">
        <v>281</v>
      </c>
      <c r="U23" s="219">
        <v>98.26</v>
      </c>
      <c r="V23" s="219"/>
      <c r="W23" s="219"/>
      <c r="Y23" s="1" t="s">
        <v>282</v>
      </c>
      <c r="AP23" s="8"/>
    </row>
    <row r="24" spans="2:42" ht="18" customHeight="1" x14ac:dyDescent="0.25">
      <c r="B24" s="6"/>
      <c r="G24" s="89" t="s">
        <v>283</v>
      </c>
      <c r="H24" s="89"/>
      <c r="I24" s="89"/>
      <c r="J24" s="89"/>
      <c r="K24" s="89"/>
      <c r="L24" s="89"/>
      <c r="M24" s="89"/>
      <c r="N24" s="89"/>
      <c r="O24" s="89"/>
      <c r="P24" s="89"/>
      <c r="Q24" s="89"/>
      <c r="R24" s="89"/>
      <c r="S24" s="89"/>
      <c r="T24" s="89"/>
      <c r="U24" s="220">
        <v>2.86</v>
      </c>
      <c r="V24" s="221"/>
      <c r="W24" s="222"/>
      <c r="Y24" s="1" t="s">
        <v>84</v>
      </c>
      <c r="AP24" s="8"/>
    </row>
    <row r="25" spans="2:42" ht="18" customHeight="1" x14ac:dyDescent="0.25">
      <c r="B25" s="6"/>
      <c r="T25" s="32" t="s">
        <v>41</v>
      </c>
      <c r="U25" s="219">
        <v>12.47</v>
      </c>
      <c r="V25" s="219"/>
      <c r="W25" s="219"/>
      <c r="Y25" s="1" t="s">
        <v>42</v>
      </c>
      <c r="AP25" s="8"/>
    </row>
    <row r="26" spans="2:42" ht="18" customHeight="1" x14ac:dyDescent="0.25">
      <c r="B26" s="6"/>
      <c r="G26" s="89" t="s">
        <v>58</v>
      </c>
      <c r="H26" s="89"/>
      <c r="I26" s="89"/>
      <c r="J26" s="89"/>
      <c r="K26" s="89"/>
      <c r="L26" s="89"/>
      <c r="M26" s="89"/>
      <c r="N26" s="89"/>
      <c r="O26" s="89"/>
      <c r="P26" s="89"/>
      <c r="Q26" s="89"/>
      <c r="R26" s="89"/>
      <c r="S26" s="89"/>
      <c r="T26" s="168"/>
      <c r="U26" s="219">
        <v>60</v>
      </c>
      <c r="V26" s="219"/>
      <c r="W26" s="219"/>
      <c r="Y26" s="1" t="s">
        <v>54</v>
      </c>
      <c r="AP26" s="8"/>
    </row>
    <row r="27" spans="2:42" ht="18" customHeight="1" x14ac:dyDescent="0.35">
      <c r="B27" s="6"/>
      <c r="T27" s="67" t="s">
        <v>284</v>
      </c>
      <c r="U27" s="225">
        <f>2*3.1415*U26*U24/1000</f>
        <v>1.0781628000000001</v>
      </c>
      <c r="V27" s="225"/>
      <c r="W27" s="225"/>
      <c r="Y27" s="1" t="s">
        <v>44</v>
      </c>
      <c r="AP27" s="8"/>
    </row>
    <row r="28" spans="2:42" ht="18" customHeight="1" x14ac:dyDescent="0.35">
      <c r="B28" s="6"/>
      <c r="T28" s="67" t="s">
        <v>344</v>
      </c>
      <c r="U28" s="226">
        <f>1/(2*3.1415*U26*(U23*0.000001))</f>
        <v>26.996342546310363</v>
      </c>
      <c r="V28" s="226"/>
      <c r="W28" s="226"/>
      <c r="Y28" s="1" t="s">
        <v>285</v>
      </c>
      <c r="AP28" s="8"/>
    </row>
    <row r="29" spans="2:42" ht="18" customHeight="1" x14ac:dyDescent="0.25">
      <c r="B29" s="6"/>
      <c r="T29" s="67" t="s">
        <v>286</v>
      </c>
      <c r="U29" s="226">
        <f>SQRT(U28/U27)</f>
        <v>5.0039192583066585</v>
      </c>
      <c r="V29" s="226"/>
      <c r="W29" s="226"/>
      <c r="AP29" s="8"/>
    </row>
    <row r="30" spans="2:42" ht="18" customHeight="1" x14ac:dyDescent="0.35">
      <c r="B30" s="6"/>
      <c r="T30" s="67" t="s">
        <v>287</v>
      </c>
      <c r="U30" s="223">
        <f>U25*U25/(U28-U27)</f>
        <v>5.9996844501449491</v>
      </c>
      <c r="V30" s="223"/>
      <c r="W30" s="223"/>
      <c r="Y30" s="1" t="s">
        <v>288</v>
      </c>
      <c r="AP30" s="8"/>
    </row>
    <row r="31" spans="2:42" ht="18" customHeight="1" x14ac:dyDescent="0.25">
      <c r="B31" s="6"/>
      <c r="AP31" s="8"/>
    </row>
    <row r="32" spans="2:42" ht="18" customHeight="1" x14ac:dyDescent="0.25">
      <c r="B32" s="6"/>
      <c r="X32" s="34"/>
      <c r="AP32" s="8"/>
    </row>
    <row r="33" spans="2:42" ht="18" customHeight="1" x14ac:dyDescent="0.25">
      <c r="B33" s="6"/>
      <c r="AP33" s="8"/>
    </row>
    <row r="34" spans="2:42" ht="18" customHeight="1" x14ac:dyDescent="0.25">
      <c r="B34" s="6"/>
      <c r="AP34" s="8"/>
    </row>
    <row r="35" spans="2:42" ht="18" customHeight="1" x14ac:dyDescent="0.25">
      <c r="B35" s="6"/>
      <c r="AI35" s="224" t="s">
        <v>289</v>
      </c>
      <c r="AJ35" s="164"/>
      <c r="AK35" s="164"/>
      <c r="AL35" s="164"/>
      <c r="AM35" s="164"/>
      <c r="AP35" s="8"/>
    </row>
    <row r="36" spans="2:42" ht="18" customHeight="1" x14ac:dyDescent="0.25">
      <c r="B36" s="6"/>
      <c r="AI36" s="164"/>
      <c r="AJ36" s="164"/>
      <c r="AK36" s="164"/>
      <c r="AL36" s="164"/>
      <c r="AM36" s="164"/>
      <c r="AP36" s="8"/>
    </row>
    <row r="37" spans="2:42" ht="18" customHeight="1" x14ac:dyDescent="0.25">
      <c r="B37" s="6"/>
      <c r="AP37" s="8"/>
    </row>
    <row r="38" spans="2:42" ht="18" customHeight="1" x14ac:dyDescent="0.25">
      <c r="B38" s="6"/>
      <c r="AP38" s="8"/>
    </row>
    <row r="39" spans="2:42" ht="18" customHeight="1" x14ac:dyDescent="0.25">
      <c r="B39" s="6"/>
      <c r="AP39" s="8"/>
    </row>
    <row r="40" spans="2:42" ht="18" customHeight="1" x14ac:dyDescent="0.25">
      <c r="B40" s="6"/>
      <c r="C40" s="92" t="s">
        <v>306</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8"/>
    </row>
    <row r="41" spans="2:42" ht="18" customHeight="1" x14ac:dyDescent="0.25">
      <c r="B41" s="6"/>
      <c r="C41" s="94" t="s">
        <v>307</v>
      </c>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8"/>
    </row>
    <row r="42" spans="2:42" ht="18" customHeight="1" x14ac:dyDescent="0.25">
      <c r="B42" s="6"/>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8"/>
    </row>
    <row r="43" spans="2:42" ht="18" customHeight="1" x14ac:dyDescent="0.25">
      <c r="B43" s="6"/>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8"/>
    </row>
    <row r="44" spans="2:42" ht="18" customHeight="1" x14ac:dyDescent="0.25">
      <c r="B44" s="6"/>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8"/>
    </row>
    <row r="45" spans="2:42" ht="18" customHeight="1" x14ac:dyDescent="0.25">
      <c r="B45" s="6"/>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8"/>
    </row>
    <row r="46" spans="2:42" ht="18" customHeight="1" x14ac:dyDescent="0.25">
      <c r="B46" s="6"/>
      <c r="AP46" s="43"/>
    </row>
    <row r="47" spans="2:42" ht="18" customHeight="1" thickBot="1" x14ac:dyDescent="0.3">
      <c r="B47" s="6"/>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1"/>
      <c r="AO47" s="11"/>
      <c r="AP47" s="8"/>
    </row>
    <row r="48" spans="2:42" ht="18" customHeight="1" x14ac:dyDescent="0.25">
      <c r="B48" s="6"/>
      <c r="D48" s="44" t="s">
        <v>94</v>
      </c>
      <c r="AO48" s="45" t="s">
        <v>95</v>
      </c>
      <c r="AP48" s="8"/>
    </row>
    <row r="49" spans="2:42" ht="18" customHeight="1" x14ac:dyDescent="0.25">
      <c r="B49" s="46"/>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8"/>
    </row>
    <row r="50" spans="2:42" ht="18" customHeight="1" x14ac:dyDescent="0.25"/>
    <row r="51" spans="2:42" ht="15" customHeight="1" x14ac:dyDescent="0.25"/>
    <row r="52" spans="2:42" ht="15" customHeight="1" x14ac:dyDescent="0.25"/>
    <row r="53" spans="2:42" ht="15" customHeight="1" x14ac:dyDescent="0.25"/>
    <row r="54" spans="2:42" ht="15" customHeight="1" x14ac:dyDescent="0.25"/>
    <row r="55" spans="2:42" ht="15" customHeight="1" x14ac:dyDescent="0.25"/>
    <row r="56" spans="2:42" ht="15" customHeight="1" x14ac:dyDescent="0.25"/>
    <row r="57" spans="2:42" ht="15" customHeight="1" x14ac:dyDescent="0.25"/>
    <row r="58" spans="2:42" ht="15" customHeight="1" x14ac:dyDescent="0.25"/>
    <row r="59" spans="2:42" ht="15" customHeight="1" x14ac:dyDescent="0.25"/>
    <row r="60" spans="2:42" ht="15" customHeight="1" x14ac:dyDescent="0.25"/>
    <row r="61" spans="2:42" ht="15" customHeight="1" x14ac:dyDescent="0.25"/>
    <row r="62" spans="2:42" ht="15" customHeight="1" x14ac:dyDescent="0.25"/>
    <row r="63" spans="2:42" ht="15" customHeight="1" x14ac:dyDescent="0.25"/>
    <row r="64" spans="2:42" ht="15" customHeight="1" x14ac:dyDescent="0.25"/>
    <row r="65" s="1" customFormat="1" ht="15" customHeight="1" x14ac:dyDescent="0.25"/>
    <row r="66" s="1" customFormat="1" ht="15" customHeight="1" x14ac:dyDescent="0.25"/>
    <row r="67" s="1" customFormat="1" ht="15" customHeight="1" x14ac:dyDescent="0.25"/>
    <row r="68" s="1" customFormat="1" ht="15" customHeight="1" x14ac:dyDescent="0.25"/>
    <row r="69" s="1" customFormat="1" ht="15" customHeight="1" x14ac:dyDescent="0.25"/>
    <row r="70" s="1" customFormat="1" ht="15" customHeight="1" x14ac:dyDescent="0.25"/>
    <row r="71" s="1" customFormat="1" ht="15" customHeight="1" x14ac:dyDescent="0.25"/>
    <row r="72" s="1" customFormat="1" ht="15" customHeight="1" x14ac:dyDescent="0.25"/>
    <row r="73" s="1" customFormat="1" ht="15" customHeight="1" x14ac:dyDescent="0.25"/>
    <row r="74" s="1" customFormat="1" ht="15" customHeight="1" x14ac:dyDescent="0.25"/>
    <row r="75" s="1" customFormat="1" ht="15" customHeight="1" x14ac:dyDescent="0.25"/>
    <row r="76" s="1" customFormat="1" ht="15" customHeight="1" x14ac:dyDescent="0.25"/>
    <row r="77" s="1" customFormat="1" ht="15" customHeight="1" x14ac:dyDescent="0.25"/>
    <row r="78" s="1" customFormat="1" ht="15" customHeight="1" x14ac:dyDescent="0.25"/>
    <row r="79" s="1" customFormat="1" ht="15" customHeight="1" x14ac:dyDescent="0.25"/>
    <row r="80" s="1" customFormat="1" ht="15" customHeight="1" x14ac:dyDescent="0.25"/>
    <row r="81" s="1" customFormat="1" ht="15" customHeight="1" x14ac:dyDescent="0.25"/>
    <row r="82" s="1" customFormat="1" ht="15" customHeight="1" x14ac:dyDescent="0.25"/>
    <row r="83" s="1" customFormat="1" ht="15" customHeight="1" x14ac:dyDescent="0.25"/>
    <row r="84" s="1" customFormat="1" ht="15" customHeight="1" x14ac:dyDescent="0.25"/>
    <row r="85" s="1" customFormat="1" ht="15" customHeight="1" x14ac:dyDescent="0.25"/>
    <row r="86" s="1" customFormat="1" ht="15" customHeight="1" x14ac:dyDescent="0.25"/>
    <row r="87" s="1" customFormat="1" ht="15" customHeight="1" x14ac:dyDescent="0.25"/>
    <row r="88" s="1" customFormat="1" ht="15" customHeight="1" x14ac:dyDescent="0.25"/>
    <row r="89" s="1" customFormat="1" ht="15" customHeight="1" x14ac:dyDescent="0.25"/>
    <row r="90" s="1" customFormat="1" ht="15" customHeight="1" x14ac:dyDescent="0.25"/>
    <row r="91" s="1" customFormat="1" ht="15" customHeight="1" x14ac:dyDescent="0.25"/>
    <row r="92" s="1" customFormat="1" ht="15" customHeight="1" x14ac:dyDescent="0.25"/>
    <row r="93" s="1" customFormat="1" ht="15" customHeight="1" x14ac:dyDescent="0.25"/>
    <row r="94" s="1" customFormat="1" ht="15" customHeight="1" x14ac:dyDescent="0.25"/>
    <row r="95" s="1" customFormat="1" ht="15" customHeight="1" x14ac:dyDescent="0.25"/>
    <row r="96" s="1" customFormat="1" ht="15" customHeight="1" x14ac:dyDescent="0.25"/>
    <row r="97" s="1" customFormat="1" ht="15" customHeight="1" x14ac:dyDescent="0.25"/>
    <row r="98" s="1" customFormat="1" ht="15" customHeight="1" x14ac:dyDescent="0.25"/>
    <row r="99" s="1" customFormat="1" ht="15" customHeight="1" x14ac:dyDescent="0.25"/>
    <row r="100" s="1" customFormat="1" ht="15" customHeight="1" x14ac:dyDescent="0.25"/>
    <row r="101" s="1" customFormat="1" ht="15" customHeight="1" x14ac:dyDescent="0.25"/>
    <row r="102" s="1" customFormat="1" ht="15" customHeight="1" x14ac:dyDescent="0.25"/>
    <row r="103" s="1" customFormat="1" ht="15" customHeight="1" x14ac:dyDescent="0.25"/>
    <row r="104" s="1" customFormat="1" ht="15" customHeight="1" x14ac:dyDescent="0.25"/>
    <row r="105" s="1" customFormat="1" ht="15" customHeight="1" x14ac:dyDescent="0.25"/>
    <row r="106" s="1" customFormat="1" ht="15" customHeight="1" x14ac:dyDescent="0.25"/>
    <row r="107" s="1" customFormat="1" ht="15" customHeight="1" x14ac:dyDescent="0.25"/>
    <row r="108" s="1" customFormat="1" ht="15" customHeight="1" x14ac:dyDescent="0.25"/>
    <row r="109" s="1" customFormat="1" ht="15" customHeight="1" x14ac:dyDescent="0.25"/>
    <row r="110" s="1" customFormat="1" ht="15" customHeight="1" x14ac:dyDescent="0.25"/>
    <row r="111" s="1" customFormat="1" ht="15" customHeight="1" x14ac:dyDescent="0.25"/>
    <row r="112" s="1" customFormat="1" ht="15" customHeight="1" x14ac:dyDescent="0.25"/>
    <row r="113" s="1" customFormat="1" ht="15" customHeight="1" x14ac:dyDescent="0.25"/>
    <row r="114" s="1" customFormat="1" ht="15" customHeight="1" x14ac:dyDescent="0.25"/>
    <row r="115" s="1" customFormat="1" ht="15" customHeight="1" x14ac:dyDescent="0.25"/>
    <row r="116" s="1" customFormat="1" ht="15" customHeight="1" x14ac:dyDescent="0.25"/>
    <row r="117" s="1" customFormat="1" ht="15" customHeight="1" x14ac:dyDescent="0.25"/>
    <row r="118" s="1" customFormat="1" ht="15" customHeight="1" x14ac:dyDescent="0.25"/>
    <row r="119" s="1" customFormat="1" ht="15" customHeight="1" x14ac:dyDescent="0.25"/>
    <row r="120" s="1" customFormat="1" ht="15" customHeight="1" x14ac:dyDescent="0.25"/>
    <row r="121" s="1" customFormat="1" ht="15" customHeight="1" x14ac:dyDescent="0.25"/>
    <row r="122" s="1" customFormat="1" ht="15" customHeight="1" x14ac:dyDescent="0.25"/>
    <row r="123" s="1" customFormat="1" ht="15" customHeight="1" x14ac:dyDescent="0.25"/>
    <row r="124" s="1" customFormat="1" ht="15" customHeight="1" x14ac:dyDescent="0.25"/>
    <row r="125" s="1" customFormat="1" ht="15" customHeight="1" x14ac:dyDescent="0.25"/>
    <row r="126" s="1" customFormat="1" ht="15" customHeight="1" x14ac:dyDescent="0.25"/>
    <row r="127" s="1" customFormat="1" ht="15" customHeight="1" x14ac:dyDescent="0.25"/>
    <row r="128" s="1" customFormat="1" ht="15" customHeight="1" x14ac:dyDescent="0.25"/>
    <row r="129" s="1" customFormat="1" ht="15" customHeight="1" x14ac:dyDescent="0.25"/>
    <row r="130" s="1" customFormat="1" ht="15" customHeight="1" x14ac:dyDescent="0.25"/>
    <row r="131" s="1" customFormat="1" ht="15" customHeight="1" x14ac:dyDescent="0.25"/>
    <row r="132" s="1" customFormat="1" ht="15" customHeight="1" x14ac:dyDescent="0.25"/>
    <row r="133" s="1" customFormat="1" ht="15" customHeight="1" x14ac:dyDescent="0.25"/>
    <row r="134" s="1" customFormat="1" ht="15" customHeight="1" x14ac:dyDescent="0.25"/>
    <row r="135" s="1" customFormat="1" ht="15" customHeight="1" x14ac:dyDescent="0.25"/>
    <row r="136" s="1" customFormat="1" ht="15" customHeight="1" x14ac:dyDescent="0.25"/>
    <row r="137" s="1" customFormat="1" ht="15" customHeight="1" x14ac:dyDescent="0.25"/>
    <row r="138" s="1" customFormat="1" ht="15" customHeight="1" x14ac:dyDescent="0.25"/>
    <row r="139" s="1" customFormat="1" ht="15" customHeight="1" x14ac:dyDescent="0.25"/>
    <row r="140" s="1" customFormat="1" ht="15" customHeight="1" x14ac:dyDescent="0.25"/>
    <row r="141" s="1" customFormat="1" ht="15" customHeight="1" x14ac:dyDescent="0.25"/>
    <row r="142" s="1" customFormat="1" ht="15" customHeight="1" x14ac:dyDescent="0.25"/>
    <row r="143" s="1" customFormat="1" ht="15" customHeight="1" x14ac:dyDescent="0.25"/>
    <row r="144" s="1" customFormat="1" ht="15" customHeight="1" x14ac:dyDescent="0.25"/>
    <row r="145" s="1" customFormat="1" ht="15" customHeight="1" x14ac:dyDescent="0.25"/>
    <row r="146" s="1" customFormat="1" ht="15" customHeight="1" x14ac:dyDescent="0.25"/>
    <row r="147" s="1" customFormat="1" ht="15" customHeight="1" x14ac:dyDescent="0.25"/>
    <row r="148" s="1" customFormat="1" ht="15" customHeight="1" x14ac:dyDescent="0.25"/>
    <row r="149" s="1" customFormat="1" ht="15" customHeight="1" x14ac:dyDescent="0.25"/>
    <row r="150" s="1" customFormat="1" ht="15" customHeight="1" x14ac:dyDescent="0.25"/>
    <row r="151" s="1" customFormat="1" ht="15" customHeight="1" x14ac:dyDescent="0.25"/>
    <row r="152" s="1" customFormat="1" ht="15" customHeight="1" x14ac:dyDescent="0.25"/>
    <row r="153" s="1" customFormat="1" ht="15" customHeight="1" x14ac:dyDescent="0.25"/>
    <row r="154" s="1" customFormat="1" ht="15" customHeight="1" x14ac:dyDescent="0.25"/>
    <row r="155" s="1" customFormat="1" ht="15" customHeight="1" x14ac:dyDescent="0.25"/>
    <row r="156" s="1" customFormat="1" ht="15" customHeight="1" x14ac:dyDescent="0.25"/>
    <row r="157" s="1" customFormat="1" ht="15" customHeight="1" x14ac:dyDescent="0.25"/>
    <row r="158" s="1" customFormat="1" ht="15" customHeight="1" x14ac:dyDescent="0.25"/>
    <row r="159" s="1" customFormat="1" ht="15" customHeight="1" x14ac:dyDescent="0.25"/>
    <row r="160" s="1" customFormat="1" ht="15" customHeight="1" x14ac:dyDescent="0.25"/>
    <row r="161" s="1" customFormat="1" ht="15" customHeight="1" x14ac:dyDescent="0.25"/>
    <row r="162" s="1" customFormat="1" ht="15" customHeight="1" x14ac:dyDescent="0.25"/>
    <row r="163" s="1" customFormat="1" ht="15" customHeight="1" x14ac:dyDescent="0.25"/>
    <row r="164" s="1" customFormat="1" ht="15" customHeight="1" x14ac:dyDescent="0.25"/>
    <row r="165" s="1" customFormat="1" ht="15" customHeight="1" x14ac:dyDescent="0.25"/>
    <row r="166" s="1" customFormat="1" ht="15" customHeight="1" x14ac:dyDescent="0.25"/>
    <row r="167" s="1" customFormat="1" ht="15" customHeight="1" x14ac:dyDescent="0.25"/>
    <row r="168" s="1" customFormat="1" ht="15" customHeight="1" x14ac:dyDescent="0.25"/>
    <row r="169" s="1" customFormat="1" ht="15" customHeight="1" x14ac:dyDescent="0.25"/>
    <row r="170" s="1" customFormat="1" ht="15" customHeight="1" x14ac:dyDescent="0.25"/>
    <row r="171" s="1" customFormat="1" ht="15" customHeight="1" x14ac:dyDescent="0.25"/>
    <row r="172" s="1" customFormat="1" ht="15" customHeight="1" x14ac:dyDescent="0.25"/>
    <row r="173" s="1" customFormat="1" ht="15" customHeight="1" x14ac:dyDescent="0.25"/>
    <row r="174" s="1" customFormat="1" ht="15" customHeight="1" x14ac:dyDescent="0.25"/>
    <row r="175" s="1" customFormat="1" ht="15" customHeight="1" x14ac:dyDescent="0.25"/>
    <row r="176" s="1" customFormat="1" ht="15" customHeight="1" x14ac:dyDescent="0.25"/>
    <row r="177" s="1" customFormat="1" ht="15" customHeight="1" x14ac:dyDescent="0.25"/>
    <row r="178" s="1" customFormat="1" ht="15" customHeight="1" x14ac:dyDescent="0.25"/>
    <row r="179" s="1" customFormat="1" ht="15" customHeight="1" x14ac:dyDescent="0.25"/>
    <row r="180" s="1" customFormat="1" ht="15" customHeight="1" x14ac:dyDescent="0.25"/>
    <row r="181" s="1" customFormat="1" ht="15" customHeight="1" x14ac:dyDescent="0.25"/>
    <row r="182" s="1" customFormat="1" ht="15" customHeight="1" x14ac:dyDescent="0.25"/>
    <row r="183" s="1" customFormat="1" ht="15" customHeight="1" x14ac:dyDescent="0.25"/>
    <row r="184" s="1" customFormat="1" ht="15" customHeight="1" x14ac:dyDescent="0.25"/>
    <row r="185" s="1" customFormat="1" ht="15" customHeight="1" x14ac:dyDescent="0.25"/>
    <row r="186" s="1" customFormat="1" ht="15" customHeight="1" x14ac:dyDescent="0.25"/>
    <row r="187" s="1" customFormat="1" ht="15" customHeight="1" x14ac:dyDescent="0.25"/>
    <row r="188" s="1" customFormat="1" ht="15" customHeight="1" x14ac:dyDescent="0.25"/>
    <row r="189" s="1" customFormat="1" ht="15" customHeight="1" x14ac:dyDescent="0.25"/>
    <row r="190" s="1" customFormat="1" ht="15" customHeight="1" x14ac:dyDescent="0.25"/>
    <row r="191" s="1" customFormat="1" ht="15" customHeight="1" x14ac:dyDescent="0.25"/>
    <row r="192" s="1" customFormat="1" ht="15" customHeight="1" x14ac:dyDescent="0.25"/>
    <row r="193" s="1" customFormat="1" ht="15" customHeight="1" x14ac:dyDescent="0.25"/>
    <row r="194" s="1" customFormat="1" ht="15" customHeight="1" x14ac:dyDescent="0.25"/>
    <row r="195" s="1" customFormat="1" ht="15" customHeight="1" x14ac:dyDescent="0.25"/>
    <row r="196" s="1" customFormat="1" ht="15" customHeight="1" x14ac:dyDescent="0.25"/>
    <row r="197" s="1" customFormat="1" ht="15" customHeight="1" x14ac:dyDescent="0.25"/>
    <row r="198" s="1" customFormat="1" ht="15" customHeight="1" x14ac:dyDescent="0.25"/>
    <row r="199" s="1" customFormat="1" ht="15" customHeight="1" x14ac:dyDescent="0.25"/>
    <row r="200" s="1" customFormat="1" ht="15" customHeight="1" x14ac:dyDescent="0.25"/>
    <row r="201" s="1" customFormat="1" ht="15" customHeight="1" x14ac:dyDescent="0.25"/>
    <row r="202" s="1" customFormat="1" ht="15" customHeight="1" x14ac:dyDescent="0.25"/>
    <row r="203" s="1" customFormat="1" ht="15" customHeight="1" x14ac:dyDescent="0.25"/>
    <row r="204" s="1" customFormat="1" ht="15" customHeight="1" x14ac:dyDescent="0.25"/>
    <row r="205" s="1" customFormat="1" ht="15" customHeight="1" x14ac:dyDescent="0.25"/>
    <row r="206" s="1" customFormat="1" ht="15" customHeight="1" x14ac:dyDescent="0.25"/>
    <row r="207" s="1" customFormat="1" ht="15" customHeight="1" x14ac:dyDescent="0.25"/>
    <row r="208" s="1" customFormat="1" ht="15" customHeight="1" x14ac:dyDescent="0.25"/>
    <row r="209" s="1" customFormat="1" ht="15" customHeight="1" x14ac:dyDescent="0.25"/>
    <row r="210" s="1" customFormat="1" ht="15" customHeight="1" x14ac:dyDescent="0.25"/>
    <row r="211" s="1" customFormat="1" ht="15" customHeight="1" x14ac:dyDescent="0.25"/>
    <row r="212" s="1" customFormat="1" ht="15" customHeight="1" x14ac:dyDescent="0.25"/>
    <row r="213" s="1" customFormat="1" ht="15" customHeight="1" x14ac:dyDescent="0.25"/>
    <row r="214" s="1" customFormat="1" ht="15" customHeight="1" x14ac:dyDescent="0.25"/>
    <row r="215" s="1" customFormat="1" ht="15" customHeight="1" x14ac:dyDescent="0.25"/>
    <row r="216" s="1" customFormat="1" ht="15" customHeight="1" x14ac:dyDescent="0.25"/>
    <row r="217" s="1" customFormat="1" ht="15" customHeight="1" x14ac:dyDescent="0.25"/>
    <row r="218" s="1" customFormat="1" ht="15" customHeight="1" x14ac:dyDescent="0.25"/>
    <row r="219" s="1" customFormat="1" ht="15" customHeight="1" x14ac:dyDescent="0.25"/>
    <row r="220" s="1" customFormat="1" ht="15" customHeight="1" x14ac:dyDescent="0.25"/>
    <row r="221" s="1" customFormat="1" ht="15" customHeight="1" x14ac:dyDescent="0.25"/>
    <row r="222" s="1" customFormat="1" ht="15" customHeight="1" x14ac:dyDescent="0.25"/>
    <row r="223" s="1" customFormat="1" ht="15" customHeight="1" x14ac:dyDescent="0.25"/>
    <row r="224" s="1" customFormat="1" ht="15" customHeight="1" x14ac:dyDescent="0.25"/>
    <row r="225" s="1" customFormat="1" ht="15" customHeight="1" x14ac:dyDescent="0.25"/>
    <row r="226" s="1" customFormat="1" ht="15" customHeight="1" x14ac:dyDescent="0.25"/>
    <row r="227" s="1" customFormat="1" ht="15" customHeight="1" x14ac:dyDescent="0.25"/>
    <row r="228" s="1" customFormat="1" ht="15" customHeight="1" x14ac:dyDescent="0.25"/>
    <row r="229" s="1" customFormat="1" ht="15" customHeight="1" x14ac:dyDescent="0.25"/>
    <row r="230" s="1" customFormat="1" ht="15" customHeight="1" x14ac:dyDescent="0.25"/>
    <row r="231" s="1" customFormat="1" ht="15" customHeight="1" x14ac:dyDescent="0.25"/>
    <row r="232" s="1" customFormat="1" ht="15" customHeight="1" x14ac:dyDescent="0.25"/>
    <row r="233" s="1" customFormat="1" ht="15" customHeight="1" x14ac:dyDescent="0.25"/>
    <row r="234" s="1" customFormat="1" ht="15" customHeight="1" x14ac:dyDescent="0.25"/>
    <row r="235" s="1" customFormat="1" ht="15" customHeight="1" x14ac:dyDescent="0.25"/>
    <row r="236" s="1" customFormat="1" ht="15" customHeight="1" x14ac:dyDescent="0.25"/>
    <row r="237" s="1" customFormat="1" ht="15" customHeight="1" x14ac:dyDescent="0.25"/>
    <row r="238" s="1" customFormat="1" ht="15" customHeight="1" x14ac:dyDescent="0.25"/>
    <row r="239" s="1" customFormat="1" ht="15" customHeight="1" x14ac:dyDescent="0.25"/>
    <row r="240" s="1" customFormat="1" ht="15" customHeight="1" x14ac:dyDescent="0.25"/>
    <row r="241" s="1" customFormat="1" ht="15" customHeight="1" x14ac:dyDescent="0.25"/>
    <row r="242" s="1" customFormat="1" ht="15" customHeight="1" x14ac:dyDescent="0.25"/>
    <row r="243" s="1" customFormat="1" ht="15" customHeight="1" x14ac:dyDescent="0.25"/>
    <row r="244" s="1" customFormat="1" ht="15" customHeight="1" x14ac:dyDescent="0.25"/>
    <row r="245" s="1" customFormat="1" ht="15" customHeight="1" x14ac:dyDescent="0.25"/>
    <row r="246" s="1" customFormat="1" ht="15" customHeight="1" x14ac:dyDescent="0.25"/>
    <row r="247" s="1" customFormat="1" ht="15" customHeight="1" x14ac:dyDescent="0.25"/>
    <row r="248" s="1" customFormat="1" ht="15" customHeight="1" x14ac:dyDescent="0.25"/>
    <row r="249" s="1" customFormat="1" ht="15" customHeight="1" x14ac:dyDescent="0.25"/>
    <row r="250" s="1" customFormat="1" ht="15" customHeight="1" x14ac:dyDescent="0.25"/>
    <row r="251" s="1" customFormat="1" ht="15" customHeight="1" x14ac:dyDescent="0.25"/>
    <row r="252" s="1" customFormat="1" ht="15" customHeight="1" x14ac:dyDescent="0.25"/>
    <row r="253" s="1" customFormat="1" ht="15" customHeight="1" x14ac:dyDescent="0.25"/>
    <row r="254" s="1" customFormat="1" ht="15" customHeight="1" x14ac:dyDescent="0.25"/>
    <row r="255" s="1" customFormat="1" ht="15" customHeight="1" x14ac:dyDescent="0.25"/>
    <row r="256" s="1" customFormat="1" ht="15" customHeight="1" x14ac:dyDescent="0.25"/>
    <row r="257" s="1" customFormat="1" ht="15" customHeight="1" x14ac:dyDescent="0.25"/>
    <row r="258" s="1" customFormat="1" ht="15" customHeight="1" x14ac:dyDescent="0.25"/>
    <row r="259" s="1" customFormat="1" ht="15" customHeight="1" x14ac:dyDescent="0.25"/>
    <row r="260" s="1" customFormat="1" ht="15" customHeight="1" x14ac:dyDescent="0.25"/>
    <row r="261" s="1" customFormat="1" ht="15" customHeight="1" x14ac:dyDescent="0.25"/>
    <row r="262" s="1" customFormat="1" ht="15" customHeight="1" x14ac:dyDescent="0.25"/>
    <row r="263" s="1" customFormat="1" ht="15" customHeight="1" x14ac:dyDescent="0.25"/>
    <row r="264" s="1" customFormat="1" ht="15" customHeight="1" x14ac:dyDescent="0.25"/>
    <row r="265" s="1" customFormat="1" ht="15" customHeight="1" x14ac:dyDescent="0.25"/>
    <row r="266" s="1" customFormat="1" ht="15" customHeight="1" x14ac:dyDescent="0.25"/>
    <row r="267" s="1" customFormat="1" ht="15" customHeight="1" x14ac:dyDescent="0.25"/>
    <row r="268" s="1" customFormat="1" ht="15" customHeight="1" x14ac:dyDescent="0.25"/>
    <row r="269" s="1" customFormat="1" ht="15" customHeight="1" x14ac:dyDescent="0.25"/>
    <row r="270" s="1" customFormat="1" ht="15" customHeight="1" x14ac:dyDescent="0.25"/>
    <row r="271" s="1" customFormat="1" ht="15" customHeight="1" x14ac:dyDescent="0.25"/>
    <row r="272" s="1" customFormat="1" ht="15" customHeight="1" x14ac:dyDescent="0.25"/>
    <row r="273" s="1" customFormat="1" ht="15" customHeight="1" x14ac:dyDescent="0.25"/>
    <row r="274" s="1" customFormat="1" ht="15" customHeight="1" x14ac:dyDescent="0.25"/>
    <row r="275" s="1" customFormat="1" ht="15" customHeight="1" x14ac:dyDescent="0.25"/>
    <row r="276" s="1" customFormat="1" ht="15" customHeight="1" x14ac:dyDescent="0.25"/>
    <row r="277" s="1" customFormat="1" ht="15" customHeight="1" x14ac:dyDescent="0.25"/>
    <row r="278" s="1" customFormat="1" ht="15" customHeight="1" x14ac:dyDescent="0.25"/>
    <row r="279" s="1" customFormat="1" ht="15" customHeight="1" x14ac:dyDescent="0.25"/>
    <row r="280" s="1" customFormat="1" ht="15" customHeight="1" x14ac:dyDescent="0.25"/>
    <row r="281" s="1" customFormat="1" ht="15" customHeight="1" x14ac:dyDescent="0.25"/>
    <row r="282" s="1" customFormat="1" ht="15" customHeight="1" x14ac:dyDescent="0.25"/>
    <row r="283" s="1" customFormat="1" ht="15" customHeight="1" x14ac:dyDescent="0.25"/>
    <row r="284" s="1" customFormat="1" ht="15" customHeight="1" x14ac:dyDescent="0.25"/>
    <row r="285" s="1" customFormat="1" ht="15" customHeight="1" x14ac:dyDescent="0.25"/>
    <row r="286" s="1" customFormat="1" ht="15" customHeight="1" x14ac:dyDescent="0.25"/>
    <row r="287" s="1" customFormat="1" ht="15" customHeight="1" x14ac:dyDescent="0.25"/>
    <row r="288" s="1" customFormat="1" ht="15" customHeight="1" x14ac:dyDescent="0.25"/>
    <row r="289" s="1" customFormat="1" ht="15" customHeight="1" x14ac:dyDescent="0.25"/>
    <row r="290" s="1" customFormat="1" ht="15" customHeight="1" x14ac:dyDescent="0.25"/>
    <row r="291" s="1" customFormat="1" ht="15" customHeight="1" x14ac:dyDescent="0.25"/>
    <row r="292" s="1" customFormat="1" ht="15" customHeight="1" x14ac:dyDescent="0.25"/>
    <row r="293" s="1" customFormat="1" ht="15" customHeight="1" x14ac:dyDescent="0.25"/>
    <row r="294" s="1" customFormat="1" ht="15" customHeight="1" x14ac:dyDescent="0.25"/>
    <row r="295" s="1" customFormat="1" ht="15" customHeight="1" x14ac:dyDescent="0.25"/>
    <row r="296" s="1" customFormat="1" ht="15" customHeight="1" x14ac:dyDescent="0.25"/>
    <row r="297" s="1" customFormat="1" ht="15" customHeight="1" x14ac:dyDescent="0.25"/>
    <row r="298" s="1" customFormat="1" ht="15" customHeight="1" x14ac:dyDescent="0.25"/>
    <row r="299" s="1" customFormat="1" ht="15" customHeight="1" x14ac:dyDescent="0.25"/>
    <row r="300" s="1" customFormat="1" ht="15" customHeight="1" x14ac:dyDescent="0.25"/>
    <row r="301" s="1" customFormat="1" ht="15" customHeight="1" x14ac:dyDescent="0.25"/>
    <row r="302" s="1" customFormat="1" ht="15" customHeight="1" x14ac:dyDescent="0.25"/>
    <row r="303" s="1" customFormat="1" ht="15" customHeight="1" x14ac:dyDescent="0.25"/>
    <row r="304" s="1" customFormat="1" ht="15" customHeight="1" x14ac:dyDescent="0.25"/>
    <row r="305" s="1" customFormat="1" ht="15" customHeight="1" x14ac:dyDescent="0.25"/>
    <row r="306" s="1" customFormat="1" ht="15" customHeight="1" x14ac:dyDescent="0.25"/>
    <row r="307" s="1" customFormat="1" ht="15" customHeight="1" x14ac:dyDescent="0.25"/>
    <row r="308" s="1" customFormat="1" ht="15" customHeight="1" x14ac:dyDescent="0.25"/>
    <row r="309" s="1" customFormat="1" ht="15" customHeight="1" x14ac:dyDescent="0.25"/>
    <row r="310" s="1" customFormat="1" ht="15" customHeight="1" x14ac:dyDescent="0.25"/>
    <row r="311" s="1" customFormat="1" ht="15" customHeight="1" x14ac:dyDescent="0.25"/>
    <row r="312" s="1" customFormat="1" ht="15" customHeight="1" x14ac:dyDescent="0.25"/>
    <row r="313" s="1" customFormat="1" ht="15" customHeight="1" x14ac:dyDescent="0.25"/>
    <row r="314" s="1" customFormat="1" ht="15" customHeight="1" x14ac:dyDescent="0.25"/>
    <row r="315" s="1" customFormat="1" ht="15" customHeight="1" x14ac:dyDescent="0.25"/>
    <row r="316" s="1" customFormat="1" ht="15" customHeight="1" x14ac:dyDescent="0.25"/>
    <row r="317" s="1" customFormat="1" ht="15" customHeight="1" x14ac:dyDescent="0.25"/>
    <row r="318" s="1" customFormat="1" ht="15" customHeight="1" x14ac:dyDescent="0.25"/>
    <row r="319" s="1" customFormat="1" ht="15" customHeight="1" x14ac:dyDescent="0.25"/>
    <row r="320" s="1" customFormat="1" ht="15" customHeight="1" x14ac:dyDescent="0.25"/>
    <row r="321" s="1" customFormat="1" ht="15" customHeight="1" x14ac:dyDescent="0.25"/>
    <row r="322" s="1" customFormat="1" ht="15" customHeight="1" x14ac:dyDescent="0.25"/>
    <row r="323" s="1" customFormat="1" ht="15" customHeight="1" x14ac:dyDescent="0.25"/>
    <row r="324" s="1" customFormat="1" ht="15" customHeight="1" x14ac:dyDescent="0.25"/>
    <row r="325" s="1" customFormat="1" ht="15" customHeight="1" x14ac:dyDescent="0.25"/>
    <row r="326" s="1" customFormat="1" ht="15" customHeight="1" x14ac:dyDescent="0.25"/>
    <row r="327" s="1" customFormat="1" ht="15" customHeight="1" x14ac:dyDescent="0.25"/>
    <row r="328" s="1" customFormat="1" ht="15" customHeight="1" x14ac:dyDescent="0.25"/>
    <row r="329" s="1" customFormat="1" ht="15" customHeight="1" x14ac:dyDescent="0.25"/>
    <row r="330" s="1" customFormat="1" ht="15" customHeight="1" x14ac:dyDescent="0.25"/>
    <row r="331" s="1" customFormat="1" ht="15" customHeight="1" x14ac:dyDescent="0.25"/>
    <row r="332" s="1" customFormat="1" ht="15" customHeight="1" x14ac:dyDescent="0.25"/>
    <row r="333" s="1" customFormat="1" ht="15" customHeight="1" x14ac:dyDescent="0.25"/>
    <row r="334" s="1" customFormat="1" ht="15" customHeight="1" x14ac:dyDescent="0.25"/>
    <row r="335" s="1" customFormat="1" ht="15" customHeight="1" x14ac:dyDescent="0.25"/>
    <row r="336" s="1" customFormat="1" ht="15" customHeight="1" x14ac:dyDescent="0.25"/>
    <row r="337" s="1" customFormat="1" ht="15" customHeight="1" x14ac:dyDescent="0.25"/>
    <row r="338" s="1" customFormat="1" ht="15" customHeight="1" x14ac:dyDescent="0.25"/>
    <row r="339" s="1" customFormat="1" ht="15" customHeight="1" x14ac:dyDescent="0.25"/>
    <row r="340" s="1" customFormat="1" ht="15" customHeight="1" x14ac:dyDescent="0.25"/>
    <row r="341" s="1" customFormat="1" ht="15" customHeight="1" x14ac:dyDescent="0.25"/>
    <row r="342" s="1" customFormat="1" ht="15" customHeight="1" x14ac:dyDescent="0.25"/>
    <row r="343" s="1" customFormat="1" ht="15" customHeight="1" x14ac:dyDescent="0.25"/>
    <row r="344" s="1" customFormat="1" ht="15" customHeight="1" x14ac:dyDescent="0.25"/>
    <row r="345" s="1" customFormat="1" ht="15" customHeight="1" x14ac:dyDescent="0.25"/>
    <row r="346" s="1" customFormat="1" ht="15" customHeight="1" x14ac:dyDescent="0.25"/>
    <row r="347" s="1" customFormat="1" ht="15" customHeight="1" x14ac:dyDescent="0.25"/>
    <row r="348" s="1" customFormat="1" ht="15" customHeight="1" x14ac:dyDescent="0.25"/>
    <row r="349" s="1" customFormat="1" ht="15" customHeight="1" x14ac:dyDescent="0.25"/>
    <row r="350" s="1" customFormat="1" ht="15" customHeight="1" x14ac:dyDescent="0.25"/>
    <row r="351" s="1" customFormat="1" ht="15" customHeight="1" x14ac:dyDescent="0.25"/>
    <row r="352" s="1" customFormat="1" ht="15" customHeight="1" x14ac:dyDescent="0.25"/>
    <row r="353" s="1" customFormat="1" ht="15" customHeight="1" x14ac:dyDescent="0.25"/>
    <row r="354" s="1" customFormat="1" ht="15" customHeight="1" x14ac:dyDescent="0.25"/>
    <row r="355" s="1" customFormat="1" ht="15" customHeight="1" x14ac:dyDescent="0.25"/>
    <row r="356" s="1" customFormat="1" ht="15" customHeight="1" x14ac:dyDescent="0.25"/>
    <row r="357" s="1" customFormat="1" ht="15" customHeight="1" x14ac:dyDescent="0.25"/>
    <row r="358" s="1" customFormat="1" ht="15" customHeight="1" x14ac:dyDescent="0.25"/>
    <row r="359" s="1" customFormat="1" ht="15" customHeight="1" x14ac:dyDescent="0.25"/>
    <row r="360" s="1" customFormat="1" ht="15" customHeight="1" x14ac:dyDescent="0.25"/>
    <row r="361" s="1" customFormat="1" ht="15" customHeight="1" x14ac:dyDescent="0.25"/>
    <row r="362" s="1" customFormat="1" ht="15" customHeight="1" x14ac:dyDescent="0.25"/>
    <row r="363" s="1" customFormat="1" ht="15" customHeight="1" x14ac:dyDescent="0.25"/>
    <row r="364" s="1" customFormat="1" ht="15" customHeight="1" x14ac:dyDescent="0.25"/>
    <row r="365" s="1" customFormat="1" ht="15" customHeight="1" x14ac:dyDescent="0.25"/>
    <row r="366" s="1" customFormat="1" ht="15" customHeight="1" x14ac:dyDescent="0.25"/>
    <row r="367" s="1" customFormat="1" ht="15" customHeight="1" x14ac:dyDescent="0.25"/>
    <row r="368" s="1" customFormat="1" ht="15" customHeight="1" x14ac:dyDescent="0.25"/>
    <row r="369" s="1" customFormat="1" ht="15" customHeight="1" x14ac:dyDescent="0.25"/>
    <row r="370" s="1" customFormat="1" ht="15" customHeight="1" x14ac:dyDescent="0.25"/>
    <row r="371" s="1" customFormat="1" ht="15" customHeight="1" x14ac:dyDescent="0.25"/>
    <row r="372" s="1" customFormat="1" ht="15" customHeight="1" x14ac:dyDescent="0.25"/>
    <row r="373" s="1" customFormat="1" ht="15" customHeight="1" x14ac:dyDescent="0.25"/>
    <row r="374" s="1" customFormat="1" ht="15" customHeight="1" x14ac:dyDescent="0.25"/>
    <row r="375" s="1" customFormat="1" ht="15" customHeight="1" x14ac:dyDescent="0.25"/>
    <row r="376" s="1" customFormat="1" ht="15" customHeight="1" x14ac:dyDescent="0.25"/>
    <row r="377" s="1" customFormat="1" ht="15" customHeight="1" x14ac:dyDescent="0.25"/>
    <row r="378" s="1" customFormat="1" ht="15" customHeight="1" x14ac:dyDescent="0.25"/>
    <row r="379" s="1" customFormat="1" ht="15" customHeight="1" x14ac:dyDescent="0.25"/>
    <row r="380" s="1" customFormat="1" ht="15" customHeight="1" x14ac:dyDescent="0.25"/>
    <row r="381" s="1" customFormat="1" ht="15" customHeight="1" x14ac:dyDescent="0.25"/>
    <row r="382" s="1" customFormat="1" ht="15" customHeight="1" x14ac:dyDescent="0.25"/>
    <row r="383" s="1" customFormat="1" ht="15" customHeight="1" x14ac:dyDescent="0.25"/>
    <row r="384" s="1" customFormat="1" ht="15" customHeight="1" x14ac:dyDescent="0.25"/>
    <row r="385" s="1" customFormat="1" ht="15" customHeight="1" x14ac:dyDescent="0.25"/>
    <row r="386" s="1" customFormat="1" ht="15" customHeight="1" x14ac:dyDescent="0.25"/>
    <row r="387" s="1" customFormat="1" ht="15" customHeight="1" x14ac:dyDescent="0.25"/>
    <row r="388" s="1" customFormat="1" ht="15" customHeight="1" x14ac:dyDescent="0.25"/>
    <row r="389" s="1" customFormat="1" ht="15" customHeight="1" x14ac:dyDescent="0.25"/>
    <row r="390" s="1" customFormat="1" ht="15" customHeight="1" x14ac:dyDescent="0.25"/>
    <row r="391" s="1" customFormat="1" ht="15" customHeight="1" x14ac:dyDescent="0.25"/>
    <row r="392" s="1" customFormat="1" ht="15" customHeight="1" x14ac:dyDescent="0.25"/>
    <row r="393" s="1" customFormat="1" ht="15" customHeight="1" x14ac:dyDescent="0.25"/>
    <row r="394" s="1" customFormat="1" ht="15" customHeight="1" x14ac:dyDescent="0.25"/>
    <row r="395" s="1" customFormat="1" ht="15" customHeight="1" x14ac:dyDescent="0.25"/>
    <row r="396" s="1" customFormat="1" ht="15" customHeight="1" x14ac:dyDescent="0.25"/>
    <row r="397" s="1" customFormat="1" ht="15" customHeight="1" x14ac:dyDescent="0.25"/>
    <row r="398" s="1" customFormat="1" ht="15" customHeight="1" x14ac:dyDescent="0.25"/>
    <row r="399" s="1" customFormat="1" ht="15" customHeight="1" x14ac:dyDescent="0.25"/>
    <row r="400" s="1" customFormat="1" ht="15" customHeight="1" x14ac:dyDescent="0.25"/>
    <row r="401" s="1" customFormat="1" ht="15" customHeight="1" x14ac:dyDescent="0.25"/>
    <row r="402" s="1" customFormat="1" ht="15" customHeight="1" x14ac:dyDescent="0.25"/>
    <row r="403" s="1" customFormat="1" ht="15" customHeight="1" x14ac:dyDescent="0.25"/>
    <row r="404" s="1" customFormat="1" ht="15" customHeight="1" x14ac:dyDescent="0.25"/>
    <row r="405" s="1" customFormat="1" ht="15" customHeight="1" x14ac:dyDescent="0.25"/>
  </sheetData>
  <sheetProtection algorithmName="SHA-512" hashValue="gkCakn0//4NuE5/NEnswyM3Y5IuL/ZKJ+tc8OUBSBTcFHZeY8yIPlJIfWR4nCgnK4SHZS8ZSGDiClPe26djS2g==" saltValue="YVdTD/+lwAuI6MFGop28ZA==" spinCount="100000" sheet="1" objects="1" scenarios="1"/>
  <mergeCells count="16">
    <mergeCell ref="C40:AO40"/>
    <mergeCell ref="C41:AO45"/>
    <mergeCell ref="C7:AO8"/>
    <mergeCell ref="C13:AO16"/>
    <mergeCell ref="C21:AO21"/>
    <mergeCell ref="U23:W23"/>
    <mergeCell ref="G24:T24"/>
    <mergeCell ref="U24:W24"/>
    <mergeCell ref="U30:W30"/>
    <mergeCell ref="AI35:AM36"/>
    <mergeCell ref="U25:W25"/>
    <mergeCell ref="G26:T26"/>
    <mergeCell ref="U26:W26"/>
    <mergeCell ref="U27:W27"/>
    <mergeCell ref="U28:W28"/>
    <mergeCell ref="U29:W29"/>
  </mergeCells>
  <dataValidations count="1">
    <dataValidation type="list" allowBlank="1" showInputMessage="1" showErrorMessage="1" sqref="G32" xr:uid="{A417D0D5-E9D7-417A-A845-5D7B1AD7DDE0}">
      <formula1>pbsrange1</formula1>
    </dataValidation>
  </dataValidations>
  <printOptions horizontalCentered="1" verticalCentered="1"/>
  <pageMargins left="0.2" right="0.2" top="0.2" bottom="0.2" header="0" footer="0"/>
  <pageSetup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0A35B-3832-4F2B-B0B3-D1BC45627354}">
  <sheetPr codeName="Sheet5">
    <pageSetUpPr fitToPage="1"/>
  </sheetPr>
  <dimension ref="B1:AP405"/>
  <sheetViews>
    <sheetView zoomScaleNormal="100" workbookViewId="0">
      <selection activeCell="BO20" sqref="BO20"/>
    </sheetView>
  </sheetViews>
  <sheetFormatPr defaultRowHeight="15" x14ac:dyDescent="0.25"/>
  <cols>
    <col min="1" max="240" width="2.7109375" style="1" customWidth="1"/>
    <col min="241" max="16384" width="9.140625" style="1"/>
  </cols>
  <sheetData>
    <row r="1" spans="2:42" ht="18" customHeight="1" x14ac:dyDescent="0.25"/>
    <row r="2" spans="2:42" ht="18" customHeight="1" x14ac:dyDescent="0.25">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5"/>
    </row>
    <row r="3" spans="2:42" ht="18" customHeight="1" x14ac:dyDescent="0.25">
      <c r="B3" s="6"/>
      <c r="AO3" s="7" t="s">
        <v>341</v>
      </c>
      <c r="AP3" s="8"/>
    </row>
    <row r="4" spans="2:42" ht="18" customHeight="1" x14ac:dyDescent="0.25">
      <c r="B4" s="6"/>
      <c r="AO4" s="9" t="s">
        <v>4</v>
      </c>
      <c r="AP4" s="8"/>
    </row>
    <row r="5" spans="2:42" ht="18" customHeight="1" x14ac:dyDescent="0.25">
      <c r="B5" s="6"/>
      <c r="AO5" s="9" t="s">
        <v>12</v>
      </c>
      <c r="AP5" s="8"/>
    </row>
    <row r="6" spans="2:42" ht="18" customHeight="1" thickBot="1" x14ac:dyDescent="0.3">
      <c r="B6" s="6"/>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G6" s="10"/>
      <c r="AH6" s="10"/>
      <c r="AI6" s="10"/>
      <c r="AJ6" s="10"/>
      <c r="AK6" s="10"/>
      <c r="AL6" s="10"/>
      <c r="AM6" s="10"/>
      <c r="AN6" s="10"/>
      <c r="AO6" s="11" t="s">
        <v>13</v>
      </c>
      <c r="AP6" s="8"/>
    </row>
    <row r="7" spans="2:42" ht="18" customHeight="1" x14ac:dyDescent="0.25">
      <c r="B7" s="6"/>
      <c r="C7" s="188" t="s">
        <v>358</v>
      </c>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8"/>
    </row>
    <row r="8" spans="2:42" ht="18" customHeight="1" x14ac:dyDescent="0.25">
      <c r="B8" s="6"/>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8"/>
    </row>
    <row r="9" spans="2:42" ht="18" customHeight="1" x14ac:dyDescent="0.25">
      <c r="B9" s="20"/>
      <c r="D9" s="21"/>
      <c r="E9" s="22"/>
      <c r="F9" s="22"/>
      <c r="G9" s="22"/>
      <c r="H9" s="22"/>
      <c r="I9" s="23"/>
      <c r="J9" s="24"/>
      <c r="K9" s="24"/>
      <c r="L9" s="24"/>
      <c r="M9" s="24"/>
      <c r="N9" s="24"/>
      <c r="O9" s="24"/>
      <c r="P9" s="24"/>
      <c r="Q9" s="24"/>
      <c r="R9" s="24"/>
      <c r="S9" s="24"/>
      <c r="T9" s="24"/>
      <c r="U9" s="24"/>
      <c r="V9" s="24"/>
      <c r="W9" s="24"/>
      <c r="X9" s="24"/>
      <c r="Y9" s="24"/>
      <c r="Z9" s="24"/>
      <c r="AA9" s="24"/>
      <c r="AB9" s="24"/>
      <c r="AC9" s="24" t="s">
        <v>11</v>
      </c>
      <c r="AD9" s="24"/>
      <c r="AE9" s="24"/>
      <c r="AG9" s="25"/>
      <c r="AH9" s="25"/>
      <c r="AI9" s="25"/>
      <c r="AJ9" s="25"/>
      <c r="AK9" s="25"/>
      <c r="AL9" s="25"/>
      <c r="AM9" s="25"/>
      <c r="AN9" s="26" t="s">
        <v>276</v>
      </c>
      <c r="AO9" s="25"/>
      <c r="AP9" s="8"/>
    </row>
    <row r="10" spans="2:42" ht="18" customHeight="1" x14ac:dyDescent="0.25">
      <c r="B10" s="6"/>
      <c r="AP10" s="8"/>
    </row>
    <row r="11" spans="2:42" ht="18" customHeight="1" x14ac:dyDescent="0.25">
      <c r="B11" s="6"/>
      <c r="C11" s="16" t="s">
        <v>277</v>
      </c>
      <c r="AP11" s="8"/>
    </row>
    <row r="12" spans="2:42" ht="18" customHeight="1" x14ac:dyDescent="0.25">
      <c r="B12" s="6"/>
      <c r="AP12" s="8"/>
    </row>
    <row r="13" spans="2:42" ht="18" customHeight="1" x14ac:dyDescent="0.25">
      <c r="B13" s="6"/>
      <c r="C13" s="96" t="s">
        <v>290</v>
      </c>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8"/>
    </row>
    <row r="14" spans="2:42" ht="18" customHeight="1" x14ac:dyDescent="0.25">
      <c r="B14" s="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8"/>
    </row>
    <row r="15" spans="2:42" ht="18" customHeight="1" x14ac:dyDescent="0.25">
      <c r="B15" s="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8"/>
    </row>
    <row r="16" spans="2:42" ht="18" customHeight="1" x14ac:dyDescent="0.25">
      <c r="B16" s="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8"/>
    </row>
    <row r="17" spans="2:42" ht="18" customHeight="1" x14ac:dyDescent="0.25">
      <c r="B17" s="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8"/>
    </row>
    <row r="18" spans="2:42" ht="18" customHeight="1" x14ac:dyDescent="0.25">
      <c r="B18" s="6"/>
      <c r="AP18" s="8"/>
    </row>
    <row r="19" spans="2:42" ht="18" customHeight="1" x14ac:dyDescent="0.25">
      <c r="B19" s="6"/>
      <c r="C19" s="16" t="s">
        <v>279</v>
      </c>
      <c r="AP19" s="8"/>
    </row>
    <row r="20" spans="2:42" ht="18" customHeight="1" x14ac:dyDescent="0.25">
      <c r="B20" s="6"/>
      <c r="AP20" s="8"/>
    </row>
    <row r="21" spans="2:42" ht="18" customHeight="1" x14ac:dyDescent="0.25">
      <c r="B21" s="6"/>
      <c r="C21" s="218" t="s">
        <v>280</v>
      </c>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8"/>
    </row>
    <row r="22" spans="2:42" ht="18" customHeight="1" x14ac:dyDescent="0.25">
      <c r="B22" s="6"/>
      <c r="AP22" s="8"/>
    </row>
    <row r="23" spans="2:42" ht="18" customHeight="1" x14ac:dyDescent="0.25">
      <c r="B23" s="6"/>
      <c r="T23" s="29" t="s">
        <v>281</v>
      </c>
      <c r="U23" s="230">
        <v>98.26</v>
      </c>
      <c r="V23" s="230"/>
      <c r="W23" s="230"/>
      <c r="Y23" s="1" t="s">
        <v>282</v>
      </c>
      <c r="AP23" s="8"/>
    </row>
    <row r="24" spans="2:42" ht="18" customHeight="1" x14ac:dyDescent="0.25">
      <c r="B24" s="6"/>
      <c r="G24" s="89" t="s">
        <v>283</v>
      </c>
      <c r="H24" s="89"/>
      <c r="I24" s="89"/>
      <c r="J24" s="89"/>
      <c r="K24" s="89"/>
      <c r="L24" s="89"/>
      <c r="M24" s="89"/>
      <c r="N24" s="89"/>
      <c r="O24" s="89"/>
      <c r="P24" s="89"/>
      <c r="Q24" s="89"/>
      <c r="R24" s="89"/>
      <c r="S24" s="89"/>
      <c r="T24" s="89"/>
      <c r="U24" s="231">
        <v>2.86</v>
      </c>
      <c r="V24" s="232"/>
      <c r="W24" s="233"/>
      <c r="Y24" s="1" t="s">
        <v>84</v>
      </c>
      <c r="AP24" s="8"/>
    </row>
    <row r="25" spans="2:42" ht="18" customHeight="1" x14ac:dyDescent="0.25">
      <c r="B25" s="6"/>
      <c r="T25" s="29" t="s">
        <v>291</v>
      </c>
      <c r="U25" s="227">
        <v>16.2</v>
      </c>
      <c r="V25" s="228"/>
      <c r="W25" s="229"/>
      <c r="Y25" s="1" t="s">
        <v>44</v>
      </c>
      <c r="AP25" s="8"/>
    </row>
    <row r="26" spans="2:42" ht="18" customHeight="1" x14ac:dyDescent="0.25">
      <c r="B26" s="6"/>
      <c r="T26" s="32" t="s">
        <v>41</v>
      </c>
      <c r="U26" s="230">
        <v>12.47</v>
      </c>
      <c r="V26" s="230"/>
      <c r="W26" s="230"/>
      <c r="Y26" s="1" t="s">
        <v>42</v>
      </c>
      <c r="AP26" s="8"/>
    </row>
    <row r="27" spans="2:42" ht="18" customHeight="1" x14ac:dyDescent="0.25">
      <c r="B27" s="6"/>
      <c r="G27" s="89" t="s">
        <v>58</v>
      </c>
      <c r="H27" s="89"/>
      <c r="I27" s="89"/>
      <c r="J27" s="89"/>
      <c r="K27" s="89"/>
      <c r="L27" s="89"/>
      <c r="M27" s="89"/>
      <c r="N27" s="89"/>
      <c r="O27" s="89"/>
      <c r="P27" s="89"/>
      <c r="Q27" s="89"/>
      <c r="R27" s="89"/>
      <c r="S27" s="89"/>
      <c r="T27" s="168"/>
      <c r="U27" s="230">
        <v>60</v>
      </c>
      <c r="V27" s="230"/>
      <c r="W27" s="230"/>
      <c r="Y27" s="1" t="s">
        <v>54</v>
      </c>
      <c r="AP27" s="8"/>
    </row>
    <row r="28" spans="2:42" ht="18" customHeight="1" x14ac:dyDescent="0.35">
      <c r="B28" s="6"/>
      <c r="T28" s="67" t="s">
        <v>284</v>
      </c>
      <c r="U28" s="225">
        <f>2*3.1415*U27*U24/1000</f>
        <v>1.0781628000000001</v>
      </c>
      <c r="V28" s="225"/>
      <c r="W28" s="225"/>
      <c r="Y28" s="1" t="s">
        <v>44</v>
      </c>
      <c r="AP28" s="8"/>
    </row>
    <row r="29" spans="2:42" ht="18" customHeight="1" x14ac:dyDescent="0.35">
      <c r="B29" s="6"/>
      <c r="T29" s="67" t="s">
        <v>344</v>
      </c>
      <c r="U29" s="226">
        <f>1/(2*3.1415*U27*(U23*0.000001))</f>
        <v>26.996342546310363</v>
      </c>
      <c r="V29" s="226"/>
      <c r="W29" s="226"/>
      <c r="Y29" s="1" t="s">
        <v>285</v>
      </c>
      <c r="AP29" s="8"/>
    </row>
    <row r="30" spans="2:42" ht="18" customHeight="1" x14ac:dyDescent="0.25">
      <c r="B30" s="6"/>
      <c r="T30" s="67" t="s">
        <v>286</v>
      </c>
      <c r="U30" s="226">
        <f>SQRT(U29/U28)</f>
        <v>5.0039192583066585</v>
      </c>
      <c r="V30" s="226"/>
      <c r="W30" s="226"/>
      <c r="AP30" s="8"/>
    </row>
    <row r="31" spans="2:42" ht="18" customHeight="1" x14ac:dyDescent="0.25">
      <c r="B31" s="6"/>
      <c r="T31" s="67" t="s">
        <v>292</v>
      </c>
      <c r="U31" s="234">
        <f>U25/(U28*U30)</f>
        <v>3.0027583123717232</v>
      </c>
      <c r="V31" s="234"/>
      <c r="W31" s="234"/>
      <c r="AP31" s="8"/>
    </row>
    <row r="32" spans="2:42" ht="18" customHeight="1" x14ac:dyDescent="0.35">
      <c r="B32" s="6"/>
      <c r="T32" s="67" t="s">
        <v>287</v>
      </c>
      <c r="U32" s="223">
        <f>U26*U26/(U29-U28)</f>
        <v>5.9996844501449491</v>
      </c>
      <c r="V32" s="223"/>
      <c r="W32" s="223"/>
      <c r="X32" s="34"/>
      <c r="Y32" s="1" t="s">
        <v>288</v>
      </c>
      <c r="AP32" s="8"/>
    </row>
    <row r="33" spans="2:42" ht="18" customHeight="1" x14ac:dyDescent="0.25">
      <c r="B33" s="6"/>
      <c r="AP33" s="8"/>
    </row>
    <row r="34" spans="2:42" ht="18" customHeight="1" x14ac:dyDescent="0.25">
      <c r="B34" s="6"/>
      <c r="AP34" s="8"/>
    </row>
    <row r="35" spans="2:42" ht="18" customHeight="1" x14ac:dyDescent="0.25">
      <c r="B35" s="6"/>
      <c r="AI35" s="224" t="s">
        <v>293</v>
      </c>
      <c r="AJ35" s="224"/>
      <c r="AK35" s="224"/>
      <c r="AL35" s="224"/>
      <c r="AM35" s="224"/>
      <c r="AN35" s="224"/>
      <c r="AO35" s="224"/>
      <c r="AP35" s="8"/>
    </row>
    <row r="36" spans="2:42" ht="18" customHeight="1" x14ac:dyDescent="0.25">
      <c r="B36" s="6"/>
      <c r="AI36" s="224"/>
      <c r="AJ36" s="224"/>
      <c r="AK36" s="224"/>
      <c r="AL36" s="224"/>
      <c r="AM36" s="224"/>
      <c r="AN36" s="224"/>
      <c r="AO36" s="224"/>
      <c r="AP36" s="8"/>
    </row>
    <row r="37" spans="2:42" ht="18" customHeight="1" x14ac:dyDescent="0.25">
      <c r="B37" s="6"/>
      <c r="AP37" s="8"/>
    </row>
    <row r="38" spans="2:42" ht="18" customHeight="1" x14ac:dyDescent="0.25">
      <c r="B38" s="6"/>
      <c r="AP38" s="8"/>
    </row>
    <row r="39" spans="2:42" ht="18" customHeight="1" x14ac:dyDescent="0.25">
      <c r="B39" s="6"/>
      <c r="AP39" s="8"/>
    </row>
    <row r="40" spans="2:42" ht="18" customHeight="1" x14ac:dyDescent="0.25">
      <c r="B40" s="6"/>
      <c r="C40" s="92" t="s">
        <v>306</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8"/>
    </row>
    <row r="41" spans="2:42" ht="18" customHeight="1" x14ac:dyDescent="0.25">
      <c r="B41" s="6"/>
      <c r="C41" s="94" t="s">
        <v>307</v>
      </c>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8"/>
    </row>
    <row r="42" spans="2:42" ht="18" customHeight="1" x14ac:dyDescent="0.25">
      <c r="B42" s="6"/>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8"/>
    </row>
    <row r="43" spans="2:42" ht="18" customHeight="1" x14ac:dyDescent="0.25">
      <c r="B43" s="6"/>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8"/>
    </row>
    <row r="44" spans="2:42" ht="18" customHeight="1" x14ac:dyDescent="0.25">
      <c r="B44" s="6"/>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8"/>
    </row>
    <row r="45" spans="2:42" ht="18" customHeight="1" x14ac:dyDescent="0.25">
      <c r="B45" s="6"/>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8"/>
    </row>
    <row r="46" spans="2:42" ht="18" customHeight="1" x14ac:dyDescent="0.25">
      <c r="B46" s="6"/>
      <c r="AP46" s="43"/>
    </row>
    <row r="47" spans="2:42" ht="18" customHeight="1" thickBot="1" x14ac:dyDescent="0.3">
      <c r="B47" s="6"/>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1"/>
      <c r="AO47" s="11"/>
      <c r="AP47" s="8"/>
    </row>
    <row r="48" spans="2:42" ht="18" customHeight="1" x14ac:dyDescent="0.25">
      <c r="B48" s="6"/>
      <c r="D48" s="44" t="s">
        <v>94</v>
      </c>
      <c r="AO48" s="45" t="s">
        <v>95</v>
      </c>
      <c r="AP48" s="8"/>
    </row>
    <row r="49" spans="2:42" ht="18" customHeight="1" x14ac:dyDescent="0.25">
      <c r="B49" s="46"/>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8"/>
    </row>
    <row r="50" spans="2:42" ht="18" customHeight="1" x14ac:dyDescent="0.25"/>
    <row r="51" spans="2:42" ht="18" customHeight="1" x14ac:dyDescent="0.25"/>
    <row r="52" spans="2:42" ht="18" customHeight="1" x14ac:dyDescent="0.25"/>
    <row r="53" spans="2:42" ht="15" customHeight="1" x14ac:dyDescent="0.25"/>
    <row r="54" spans="2:42" ht="15" customHeight="1" x14ac:dyDescent="0.25"/>
    <row r="55" spans="2:42" ht="15" customHeight="1" x14ac:dyDescent="0.25"/>
    <row r="56" spans="2:42" ht="15" customHeight="1" x14ac:dyDescent="0.25"/>
    <row r="57" spans="2:42" ht="15" customHeight="1" x14ac:dyDescent="0.25"/>
    <row r="58" spans="2:42" ht="15" customHeight="1" x14ac:dyDescent="0.25"/>
    <row r="59" spans="2:42" ht="15" customHeight="1" x14ac:dyDescent="0.25"/>
    <row r="60" spans="2:42" ht="15" customHeight="1" x14ac:dyDescent="0.25"/>
    <row r="61" spans="2:42" ht="15" customHeight="1" x14ac:dyDescent="0.25"/>
    <row r="62" spans="2:42" ht="15" customHeight="1" x14ac:dyDescent="0.25"/>
    <row r="63" spans="2:42" ht="15" customHeight="1" x14ac:dyDescent="0.25"/>
    <row r="64" spans="2:42" ht="15" customHeight="1" x14ac:dyDescent="0.25"/>
    <row r="65" s="1" customFormat="1" ht="15" customHeight="1" x14ac:dyDescent="0.25"/>
    <row r="66" s="1" customFormat="1" ht="15" customHeight="1" x14ac:dyDescent="0.25"/>
    <row r="67" s="1" customFormat="1" ht="15" customHeight="1" x14ac:dyDescent="0.25"/>
    <row r="68" s="1" customFormat="1" ht="15" customHeight="1" x14ac:dyDescent="0.25"/>
    <row r="69" s="1" customFormat="1" ht="15" customHeight="1" x14ac:dyDescent="0.25"/>
    <row r="70" s="1" customFormat="1" ht="15" customHeight="1" x14ac:dyDescent="0.25"/>
    <row r="71" s="1" customFormat="1" ht="15" customHeight="1" x14ac:dyDescent="0.25"/>
    <row r="72" s="1" customFormat="1" ht="15" customHeight="1" x14ac:dyDescent="0.25"/>
    <row r="73" s="1" customFormat="1" ht="15" customHeight="1" x14ac:dyDescent="0.25"/>
    <row r="74" s="1" customFormat="1" ht="15" customHeight="1" x14ac:dyDescent="0.25"/>
    <row r="75" s="1" customFormat="1" ht="15" customHeight="1" x14ac:dyDescent="0.25"/>
    <row r="76" s="1" customFormat="1" ht="15" customHeight="1" x14ac:dyDescent="0.25"/>
    <row r="77" s="1" customFormat="1" ht="15" customHeight="1" x14ac:dyDescent="0.25"/>
    <row r="78" s="1" customFormat="1" ht="15" customHeight="1" x14ac:dyDescent="0.25"/>
    <row r="79" s="1" customFormat="1" ht="15" customHeight="1" x14ac:dyDescent="0.25"/>
    <row r="80" s="1" customFormat="1" ht="15" customHeight="1" x14ac:dyDescent="0.25"/>
    <row r="81" s="1" customFormat="1" ht="15" customHeight="1" x14ac:dyDescent="0.25"/>
    <row r="82" s="1" customFormat="1" ht="15" customHeight="1" x14ac:dyDescent="0.25"/>
    <row r="83" s="1" customFormat="1" ht="15" customHeight="1" x14ac:dyDescent="0.25"/>
    <row r="84" s="1" customFormat="1" ht="15" customHeight="1" x14ac:dyDescent="0.25"/>
    <row r="85" s="1" customFormat="1" ht="15" customHeight="1" x14ac:dyDescent="0.25"/>
    <row r="86" s="1" customFormat="1" ht="15" customHeight="1" x14ac:dyDescent="0.25"/>
    <row r="87" s="1" customFormat="1" ht="15" customHeight="1" x14ac:dyDescent="0.25"/>
    <row r="88" s="1" customFormat="1" ht="15" customHeight="1" x14ac:dyDescent="0.25"/>
    <row r="89" s="1" customFormat="1" ht="15" customHeight="1" x14ac:dyDescent="0.25"/>
    <row r="90" s="1" customFormat="1" ht="15" customHeight="1" x14ac:dyDescent="0.25"/>
    <row r="91" s="1" customFormat="1" ht="15" customHeight="1" x14ac:dyDescent="0.25"/>
    <row r="92" s="1" customFormat="1" ht="15" customHeight="1" x14ac:dyDescent="0.25"/>
    <row r="93" s="1" customFormat="1" ht="15" customHeight="1" x14ac:dyDescent="0.25"/>
    <row r="94" s="1" customFormat="1" ht="15" customHeight="1" x14ac:dyDescent="0.25"/>
    <row r="95" s="1" customFormat="1" ht="15" customHeight="1" x14ac:dyDescent="0.25"/>
    <row r="96" s="1" customFormat="1" ht="15" customHeight="1" x14ac:dyDescent="0.25"/>
    <row r="97" s="1" customFormat="1" ht="15" customHeight="1" x14ac:dyDescent="0.25"/>
    <row r="98" s="1" customFormat="1" ht="15" customHeight="1" x14ac:dyDescent="0.25"/>
    <row r="99" s="1" customFormat="1" ht="15" customHeight="1" x14ac:dyDescent="0.25"/>
    <row r="100" s="1" customFormat="1" ht="15" customHeight="1" x14ac:dyDescent="0.25"/>
    <row r="101" s="1" customFormat="1" ht="15" customHeight="1" x14ac:dyDescent="0.25"/>
    <row r="102" s="1" customFormat="1" ht="15" customHeight="1" x14ac:dyDescent="0.25"/>
    <row r="103" s="1" customFormat="1" ht="15" customHeight="1" x14ac:dyDescent="0.25"/>
    <row r="104" s="1" customFormat="1" ht="15" customHeight="1" x14ac:dyDescent="0.25"/>
    <row r="105" s="1" customFormat="1" ht="15" customHeight="1" x14ac:dyDescent="0.25"/>
    <row r="106" s="1" customFormat="1" ht="15" customHeight="1" x14ac:dyDescent="0.25"/>
    <row r="107" s="1" customFormat="1" ht="15" customHeight="1" x14ac:dyDescent="0.25"/>
    <row r="108" s="1" customFormat="1" ht="15" customHeight="1" x14ac:dyDescent="0.25"/>
    <row r="109" s="1" customFormat="1" ht="15" customHeight="1" x14ac:dyDescent="0.25"/>
    <row r="110" s="1" customFormat="1" ht="15" customHeight="1" x14ac:dyDescent="0.25"/>
    <row r="111" s="1" customFormat="1" ht="15" customHeight="1" x14ac:dyDescent="0.25"/>
    <row r="112" s="1" customFormat="1" ht="15" customHeight="1" x14ac:dyDescent="0.25"/>
    <row r="113" s="1" customFormat="1" ht="15" customHeight="1" x14ac:dyDescent="0.25"/>
    <row r="114" s="1" customFormat="1" ht="15" customHeight="1" x14ac:dyDescent="0.25"/>
    <row r="115" s="1" customFormat="1" ht="15" customHeight="1" x14ac:dyDescent="0.25"/>
    <row r="116" s="1" customFormat="1" ht="15" customHeight="1" x14ac:dyDescent="0.25"/>
    <row r="117" s="1" customFormat="1" ht="15" customHeight="1" x14ac:dyDescent="0.25"/>
    <row r="118" s="1" customFormat="1" ht="15" customHeight="1" x14ac:dyDescent="0.25"/>
    <row r="119" s="1" customFormat="1" ht="15" customHeight="1" x14ac:dyDescent="0.25"/>
    <row r="120" s="1" customFormat="1" ht="15" customHeight="1" x14ac:dyDescent="0.25"/>
    <row r="121" s="1" customFormat="1" ht="15" customHeight="1" x14ac:dyDescent="0.25"/>
    <row r="122" s="1" customFormat="1" ht="15" customHeight="1" x14ac:dyDescent="0.25"/>
    <row r="123" s="1" customFormat="1" ht="15" customHeight="1" x14ac:dyDescent="0.25"/>
    <row r="124" s="1" customFormat="1" ht="15" customHeight="1" x14ac:dyDescent="0.25"/>
    <row r="125" s="1" customFormat="1" ht="15" customHeight="1" x14ac:dyDescent="0.25"/>
    <row r="126" s="1" customFormat="1" ht="15" customHeight="1" x14ac:dyDescent="0.25"/>
    <row r="127" s="1" customFormat="1" ht="15" customHeight="1" x14ac:dyDescent="0.25"/>
    <row r="128" s="1" customFormat="1" ht="15" customHeight="1" x14ac:dyDescent="0.25"/>
    <row r="129" s="1" customFormat="1" ht="15" customHeight="1" x14ac:dyDescent="0.25"/>
    <row r="130" s="1" customFormat="1" ht="15" customHeight="1" x14ac:dyDescent="0.25"/>
    <row r="131" s="1" customFormat="1" ht="15" customHeight="1" x14ac:dyDescent="0.25"/>
    <row r="132" s="1" customFormat="1" ht="15" customHeight="1" x14ac:dyDescent="0.25"/>
    <row r="133" s="1" customFormat="1" ht="15" customHeight="1" x14ac:dyDescent="0.25"/>
    <row r="134" s="1" customFormat="1" ht="15" customHeight="1" x14ac:dyDescent="0.25"/>
    <row r="135" s="1" customFormat="1" ht="15" customHeight="1" x14ac:dyDescent="0.25"/>
    <row r="136" s="1" customFormat="1" ht="15" customHeight="1" x14ac:dyDescent="0.25"/>
    <row r="137" s="1" customFormat="1" ht="15" customHeight="1" x14ac:dyDescent="0.25"/>
    <row r="138" s="1" customFormat="1" ht="15" customHeight="1" x14ac:dyDescent="0.25"/>
    <row r="139" s="1" customFormat="1" ht="15" customHeight="1" x14ac:dyDescent="0.25"/>
    <row r="140" s="1" customFormat="1" ht="15" customHeight="1" x14ac:dyDescent="0.25"/>
    <row r="141" s="1" customFormat="1" ht="15" customHeight="1" x14ac:dyDescent="0.25"/>
    <row r="142" s="1" customFormat="1" ht="15" customHeight="1" x14ac:dyDescent="0.25"/>
    <row r="143" s="1" customFormat="1" ht="15" customHeight="1" x14ac:dyDescent="0.25"/>
    <row r="144" s="1" customFormat="1" ht="15" customHeight="1" x14ac:dyDescent="0.25"/>
    <row r="145" s="1" customFormat="1" ht="15" customHeight="1" x14ac:dyDescent="0.25"/>
    <row r="146" s="1" customFormat="1" ht="15" customHeight="1" x14ac:dyDescent="0.25"/>
    <row r="147" s="1" customFormat="1" ht="15" customHeight="1" x14ac:dyDescent="0.25"/>
    <row r="148" s="1" customFormat="1" ht="15" customHeight="1" x14ac:dyDescent="0.25"/>
    <row r="149" s="1" customFormat="1" ht="15" customHeight="1" x14ac:dyDescent="0.25"/>
    <row r="150" s="1" customFormat="1" ht="15" customHeight="1" x14ac:dyDescent="0.25"/>
    <row r="151" s="1" customFormat="1" ht="15" customHeight="1" x14ac:dyDescent="0.25"/>
    <row r="152" s="1" customFormat="1" ht="15" customHeight="1" x14ac:dyDescent="0.25"/>
    <row r="153" s="1" customFormat="1" ht="15" customHeight="1" x14ac:dyDescent="0.25"/>
    <row r="154" s="1" customFormat="1" ht="15" customHeight="1" x14ac:dyDescent="0.25"/>
    <row r="155" s="1" customFormat="1" ht="15" customHeight="1" x14ac:dyDescent="0.25"/>
    <row r="156" s="1" customFormat="1" ht="15" customHeight="1" x14ac:dyDescent="0.25"/>
    <row r="157" s="1" customFormat="1" ht="15" customHeight="1" x14ac:dyDescent="0.25"/>
    <row r="158" s="1" customFormat="1" ht="15" customHeight="1" x14ac:dyDescent="0.25"/>
    <row r="159" s="1" customFormat="1" ht="15" customHeight="1" x14ac:dyDescent="0.25"/>
    <row r="160" s="1" customFormat="1" ht="15" customHeight="1" x14ac:dyDescent="0.25"/>
    <row r="161" s="1" customFormat="1" ht="15" customHeight="1" x14ac:dyDescent="0.25"/>
    <row r="162" s="1" customFormat="1" ht="15" customHeight="1" x14ac:dyDescent="0.25"/>
    <row r="163" s="1" customFormat="1" ht="15" customHeight="1" x14ac:dyDescent="0.25"/>
    <row r="164" s="1" customFormat="1" ht="15" customHeight="1" x14ac:dyDescent="0.25"/>
    <row r="165" s="1" customFormat="1" ht="15" customHeight="1" x14ac:dyDescent="0.25"/>
    <row r="166" s="1" customFormat="1" ht="15" customHeight="1" x14ac:dyDescent="0.25"/>
    <row r="167" s="1" customFormat="1" ht="15" customHeight="1" x14ac:dyDescent="0.25"/>
    <row r="168" s="1" customFormat="1" ht="15" customHeight="1" x14ac:dyDescent="0.25"/>
    <row r="169" s="1" customFormat="1" ht="15" customHeight="1" x14ac:dyDescent="0.25"/>
    <row r="170" s="1" customFormat="1" ht="15" customHeight="1" x14ac:dyDescent="0.25"/>
    <row r="171" s="1" customFormat="1" ht="15" customHeight="1" x14ac:dyDescent="0.25"/>
    <row r="172" s="1" customFormat="1" ht="15" customHeight="1" x14ac:dyDescent="0.25"/>
    <row r="173" s="1" customFormat="1" ht="15" customHeight="1" x14ac:dyDescent="0.25"/>
    <row r="174" s="1" customFormat="1" ht="15" customHeight="1" x14ac:dyDescent="0.25"/>
    <row r="175" s="1" customFormat="1" ht="15" customHeight="1" x14ac:dyDescent="0.25"/>
    <row r="176" s="1" customFormat="1" ht="15" customHeight="1" x14ac:dyDescent="0.25"/>
    <row r="177" s="1" customFormat="1" ht="15" customHeight="1" x14ac:dyDescent="0.25"/>
    <row r="178" s="1" customFormat="1" ht="15" customHeight="1" x14ac:dyDescent="0.25"/>
    <row r="179" s="1" customFormat="1" ht="15" customHeight="1" x14ac:dyDescent="0.25"/>
    <row r="180" s="1" customFormat="1" ht="15" customHeight="1" x14ac:dyDescent="0.25"/>
    <row r="181" s="1" customFormat="1" ht="15" customHeight="1" x14ac:dyDescent="0.25"/>
    <row r="182" s="1" customFormat="1" ht="15" customHeight="1" x14ac:dyDescent="0.25"/>
    <row r="183" s="1" customFormat="1" ht="15" customHeight="1" x14ac:dyDescent="0.25"/>
    <row r="184" s="1" customFormat="1" ht="15" customHeight="1" x14ac:dyDescent="0.25"/>
    <row r="185" s="1" customFormat="1" ht="15" customHeight="1" x14ac:dyDescent="0.25"/>
    <row r="186" s="1" customFormat="1" ht="15" customHeight="1" x14ac:dyDescent="0.25"/>
    <row r="187" s="1" customFormat="1" ht="15" customHeight="1" x14ac:dyDescent="0.25"/>
    <row r="188" s="1" customFormat="1" ht="15" customHeight="1" x14ac:dyDescent="0.25"/>
    <row r="189" s="1" customFormat="1" ht="15" customHeight="1" x14ac:dyDescent="0.25"/>
    <row r="190" s="1" customFormat="1" ht="15" customHeight="1" x14ac:dyDescent="0.25"/>
    <row r="191" s="1" customFormat="1" ht="15" customHeight="1" x14ac:dyDescent="0.25"/>
    <row r="192" s="1" customFormat="1" ht="15" customHeight="1" x14ac:dyDescent="0.25"/>
    <row r="193" s="1" customFormat="1" ht="15" customHeight="1" x14ac:dyDescent="0.25"/>
    <row r="194" s="1" customFormat="1" ht="15" customHeight="1" x14ac:dyDescent="0.25"/>
    <row r="195" s="1" customFormat="1" ht="15" customHeight="1" x14ac:dyDescent="0.25"/>
    <row r="196" s="1" customFormat="1" ht="15" customHeight="1" x14ac:dyDescent="0.25"/>
    <row r="197" s="1" customFormat="1" ht="15" customHeight="1" x14ac:dyDescent="0.25"/>
    <row r="198" s="1" customFormat="1" ht="15" customHeight="1" x14ac:dyDescent="0.25"/>
    <row r="199" s="1" customFormat="1" ht="15" customHeight="1" x14ac:dyDescent="0.25"/>
    <row r="200" s="1" customFormat="1" ht="15" customHeight="1" x14ac:dyDescent="0.25"/>
    <row r="201" s="1" customFormat="1" ht="15" customHeight="1" x14ac:dyDescent="0.25"/>
    <row r="202" s="1" customFormat="1" ht="15" customHeight="1" x14ac:dyDescent="0.25"/>
    <row r="203" s="1" customFormat="1" ht="15" customHeight="1" x14ac:dyDescent="0.25"/>
    <row r="204" s="1" customFormat="1" ht="15" customHeight="1" x14ac:dyDescent="0.25"/>
    <row r="205" s="1" customFormat="1" ht="15" customHeight="1" x14ac:dyDescent="0.25"/>
    <row r="206" s="1" customFormat="1" ht="15" customHeight="1" x14ac:dyDescent="0.25"/>
    <row r="207" s="1" customFormat="1" ht="15" customHeight="1" x14ac:dyDescent="0.25"/>
    <row r="208" s="1" customFormat="1" ht="15" customHeight="1" x14ac:dyDescent="0.25"/>
    <row r="209" s="1" customFormat="1" ht="15" customHeight="1" x14ac:dyDescent="0.25"/>
    <row r="210" s="1" customFormat="1" ht="15" customHeight="1" x14ac:dyDescent="0.25"/>
    <row r="211" s="1" customFormat="1" ht="15" customHeight="1" x14ac:dyDescent="0.25"/>
    <row r="212" s="1" customFormat="1" ht="15" customHeight="1" x14ac:dyDescent="0.25"/>
    <row r="213" s="1" customFormat="1" ht="15" customHeight="1" x14ac:dyDescent="0.25"/>
    <row r="214" s="1" customFormat="1" ht="15" customHeight="1" x14ac:dyDescent="0.25"/>
    <row r="215" s="1" customFormat="1" ht="15" customHeight="1" x14ac:dyDescent="0.25"/>
    <row r="216" s="1" customFormat="1" ht="15" customHeight="1" x14ac:dyDescent="0.25"/>
    <row r="217" s="1" customFormat="1" ht="15" customHeight="1" x14ac:dyDescent="0.25"/>
    <row r="218" s="1" customFormat="1" ht="15" customHeight="1" x14ac:dyDescent="0.25"/>
    <row r="219" s="1" customFormat="1" ht="15" customHeight="1" x14ac:dyDescent="0.25"/>
    <row r="220" s="1" customFormat="1" ht="15" customHeight="1" x14ac:dyDescent="0.25"/>
    <row r="221" s="1" customFormat="1" ht="15" customHeight="1" x14ac:dyDescent="0.25"/>
    <row r="222" s="1" customFormat="1" ht="15" customHeight="1" x14ac:dyDescent="0.25"/>
    <row r="223" s="1" customFormat="1" ht="15" customHeight="1" x14ac:dyDescent="0.25"/>
    <row r="224" s="1" customFormat="1" ht="15" customHeight="1" x14ac:dyDescent="0.25"/>
    <row r="225" s="1" customFormat="1" ht="15" customHeight="1" x14ac:dyDescent="0.25"/>
    <row r="226" s="1" customFormat="1" ht="15" customHeight="1" x14ac:dyDescent="0.25"/>
    <row r="227" s="1" customFormat="1" ht="15" customHeight="1" x14ac:dyDescent="0.25"/>
    <row r="228" s="1" customFormat="1" ht="15" customHeight="1" x14ac:dyDescent="0.25"/>
    <row r="229" s="1" customFormat="1" ht="15" customHeight="1" x14ac:dyDescent="0.25"/>
    <row r="230" s="1" customFormat="1" ht="15" customHeight="1" x14ac:dyDescent="0.25"/>
    <row r="231" s="1" customFormat="1" ht="15" customHeight="1" x14ac:dyDescent="0.25"/>
    <row r="232" s="1" customFormat="1" ht="15" customHeight="1" x14ac:dyDescent="0.25"/>
    <row r="233" s="1" customFormat="1" ht="15" customHeight="1" x14ac:dyDescent="0.25"/>
    <row r="234" s="1" customFormat="1" ht="15" customHeight="1" x14ac:dyDescent="0.25"/>
    <row r="235" s="1" customFormat="1" ht="15" customHeight="1" x14ac:dyDescent="0.25"/>
    <row r="236" s="1" customFormat="1" ht="15" customHeight="1" x14ac:dyDescent="0.25"/>
    <row r="237" s="1" customFormat="1" ht="15" customHeight="1" x14ac:dyDescent="0.25"/>
    <row r="238" s="1" customFormat="1" ht="15" customHeight="1" x14ac:dyDescent="0.25"/>
    <row r="239" s="1" customFormat="1" ht="15" customHeight="1" x14ac:dyDescent="0.25"/>
    <row r="240" s="1" customFormat="1" ht="15" customHeight="1" x14ac:dyDescent="0.25"/>
    <row r="241" s="1" customFormat="1" ht="15" customHeight="1" x14ac:dyDescent="0.25"/>
    <row r="242" s="1" customFormat="1" ht="15" customHeight="1" x14ac:dyDescent="0.25"/>
    <row r="243" s="1" customFormat="1" ht="15" customHeight="1" x14ac:dyDescent="0.25"/>
    <row r="244" s="1" customFormat="1" ht="15" customHeight="1" x14ac:dyDescent="0.25"/>
    <row r="245" s="1" customFormat="1" ht="15" customHeight="1" x14ac:dyDescent="0.25"/>
    <row r="246" s="1" customFormat="1" ht="15" customHeight="1" x14ac:dyDescent="0.25"/>
    <row r="247" s="1" customFormat="1" ht="15" customHeight="1" x14ac:dyDescent="0.25"/>
    <row r="248" s="1" customFormat="1" ht="15" customHeight="1" x14ac:dyDescent="0.25"/>
    <row r="249" s="1" customFormat="1" ht="15" customHeight="1" x14ac:dyDescent="0.25"/>
    <row r="250" s="1" customFormat="1" ht="15" customHeight="1" x14ac:dyDescent="0.25"/>
    <row r="251" s="1" customFormat="1" ht="15" customHeight="1" x14ac:dyDescent="0.25"/>
    <row r="252" s="1" customFormat="1" ht="15" customHeight="1" x14ac:dyDescent="0.25"/>
    <row r="253" s="1" customFormat="1" ht="15" customHeight="1" x14ac:dyDescent="0.25"/>
    <row r="254" s="1" customFormat="1" ht="15" customHeight="1" x14ac:dyDescent="0.25"/>
    <row r="255" s="1" customFormat="1" ht="15" customHeight="1" x14ac:dyDescent="0.25"/>
    <row r="256" s="1" customFormat="1" ht="15" customHeight="1" x14ac:dyDescent="0.25"/>
    <row r="257" s="1" customFormat="1" ht="15" customHeight="1" x14ac:dyDescent="0.25"/>
    <row r="258" s="1" customFormat="1" ht="15" customHeight="1" x14ac:dyDescent="0.25"/>
    <row r="259" s="1" customFormat="1" ht="15" customHeight="1" x14ac:dyDescent="0.25"/>
    <row r="260" s="1" customFormat="1" ht="15" customHeight="1" x14ac:dyDescent="0.25"/>
    <row r="261" s="1" customFormat="1" ht="15" customHeight="1" x14ac:dyDescent="0.25"/>
    <row r="262" s="1" customFormat="1" ht="15" customHeight="1" x14ac:dyDescent="0.25"/>
    <row r="263" s="1" customFormat="1" ht="15" customHeight="1" x14ac:dyDescent="0.25"/>
    <row r="264" s="1" customFormat="1" ht="15" customHeight="1" x14ac:dyDescent="0.25"/>
    <row r="265" s="1" customFormat="1" ht="15" customHeight="1" x14ac:dyDescent="0.25"/>
    <row r="266" s="1" customFormat="1" ht="15" customHeight="1" x14ac:dyDescent="0.25"/>
    <row r="267" s="1" customFormat="1" ht="15" customHeight="1" x14ac:dyDescent="0.25"/>
    <row r="268" s="1" customFormat="1" ht="15" customHeight="1" x14ac:dyDescent="0.25"/>
    <row r="269" s="1" customFormat="1" ht="15" customHeight="1" x14ac:dyDescent="0.25"/>
    <row r="270" s="1" customFormat="1" ht="15" customHeight="1" x14ac:dyDescent="0.25"/>
    <row r="271" s="1" customFormat="1" ht="15" customHeight="1" x14ac:dyDescent="0.25"/>
    <row r="272" s="1" customFormat="1" ht="15" customHeight="1" x14ac:dyDescent="0.25"/>
    <row r="273" s="1" customFormat="1" ht="15" customHeight="1" x14ac:dyDescent="0.25"/>
    <row r="274" s="1" customFormat="1" ht="15" customHeight="1" x14ac:dyDescent="0.25"/>
    <row r="275" s="1" customFormat="1" ht="15" customHeight="1" x14ac:dyDescent="0.25"/>
    <row r="276" s="1" customFormat="1" ht="15" customHeight="1" x14ac:dyDescent="0.25"/>
    <row r="277" s="1" customFormat="1" ht="15" customHeight="1" x14ac:dyDescent="0.25"/>
    <row r="278" s="1" customFormat="1" ht="15" customHeight="1" x14ac:dyDescent="0.25"/>
    <row r="279" s="1" customFormat="1" ht="15" customHeight="1" x14ac:dyDescent="0.25"/>
    <row r="280" s="1" customFormat="1" ht="15" customHeight="1" x14ac:dyDescent="0.25"/>
    <row r="281" s="1" customFormat="1" ht="15" customHeight="1" x14ac:dyDescent="0.25"/>
    <row r="282" s="1" customFormat="1" ht="15" customHeight="1" x14ac:dyDescent="0.25"/>
    <row r="283" s="1" customFormat="1" ht="15" customHeight="1" x14ac:dyDescent="0.25"/>
    <row r="284" s="1" customFormat="1" ht="15" customHeight="1" x14ac:dyDescent="0.25"/>
    <row r="285" s="1" customFormat="1" ht="15" customHeight="1" x14ac:dyDescent="0.25"/>
    <row r="286" s="1" customFormat="1" ht="15" customHeight="1" x14ac:dyDescent="0.25"/>
    <row r="287" s="1" customFormat="1" ht="15" customHeight="1" x14ac:dyDescent="0.25"/>
    <row r="288" s="1" customFormat="1" ht="15" customHeight="1" x14ac:dyDescent="0.25"/>
    <row r="289" s="1" customFormat="1" ht="15" customHeight="1" x14ac:dyDescent="0.25"/>
    <row r="290" s="1" customFormat="1" ht="15" customHeight="1" x14ac:dyDescent="0.25"/>
    <row r="291" s="1" customFormat="1" ht="15" customHeight="1" x14ac:dyDescent="0.25"/>
    <row r="292" s="1" customFormat="1" ht="15" customHeight="1" x14ac:dyDescent="0.25"/>
    <row r="293" s="1" customFormat="1" ht="15" customHeight="1" x14ac:dyDescent="0.25"/>
    <row r="294" s="1" customFormat="1" ht="15" customHeight="1" x14ac:dyDescent="0.25"/>
    <row r="295" s="1" customFormat="1" ht="15" customHeight="1" x14ac:dyDescent="0.25"/>
    <row r="296" s="1" customFormat="1" ht="15" customHeight="1" x14ac:dyDescent="0.25"/>
    <row r="297" s="1" customFormat="1" ht="15" customHeight="1" x14ac:dyDescent="0.25"/>
    <row r="298" s="1" customFormat="1" ht="15" customHeight="1" x14ac:dyDescent="0.25"/>
    <row r="299" s="1" customFormat="1" ht="15" customHeight="1" x14ac:dyDescent="0.25"/>
    <row r="300" s="1" customFormat="1" ht="15" customHeight="1" x14ac:dyDescent="0.25"/>
    <row r="301" s="1" customFormat="1" ht="15" customHeight="1" x14ac:dyDescent="0.25"/>
    <row r="302" s="1" customFormat="1" ht="15" customHeight="1" x14ac:dyDescent="0.25"/>
    <row r="303" s="1" customFormat="1" ht="15" customHeight="1" x14ac:dyDescent="0.25"/>
    <row r="304" s="1" customFormat="1" ht="15" customHeight="1" x14ac:dyDescent="0.25"/>
    <row r="305" s="1" customFormat="1" ht="15" customHeight="1" x14ac:dyDescent="0.25"/>
    <row r="306" s="1" customFormat="1" ht="15" customHeight="1" x14ac:dyDescent="0.25"/>
    <row r="307" s="1" customFormat="1" ht="15" customHeight="1" x14ac:dyDescent="0.25"/>
    <row r="308" s="1" customFormat="1" ht="15" customHeight="1" x14ac:dyDescent="0.25"/>
    <row r="309" s="1" customFormat="1" ht="15" customHeight="1" x14ac:dyDescent="0.25"/>
    <row r="310" s="1" customFormat="1" ht="15" customHeight="1" x14ac:dyDescent="0.25"/>
    <row r="311" s="1" customFormat="1" ht="15" customHeight="1" x14ac:dyDescent="0.25"/>
    <row r="312" s="1" customFormat="1" ht="15" customHeight="1" x14ac:dyDescent="0.25"/>
    <row r="313" s="1" customFormat="1" ht="15" customHeight="1" x14ac:dyDescent="0.25"/>
    <row r="314" s="1" customFormat="1" ht="15" customHeight="1" x14ac:dyDescent="0.25"/>
    <row r="315" s="1" customFormat="1" ht="15" customHeight="1" x14ac:dyDescent="0.25"/>
    <row r="316" s="1" customFormat="1" ht="15" customHeight="1" x14ac:dyDescent="0.25"/>
    <row r="317" s="1" customFormat="1" ht="15" customHeight="1" x14ac:dyDescent="0.25"/>
    <row r="318" s="1" customFormat="1" ht="15" customHeight="1" x14ac:dyDescent="0.25"/>
    <row r="319" s="1" customFormat="1" ht="15" customHeight="1" x14ac:dyDescent="0.25"/>
    <row r="320" s="1" customFormat="1" ht="15" customHeight="1" x14ac:dyDescent="0.25"/>
    <row r="321" s="1" customFormat="1" ht="15" customHeight="1" x14ac:dyDescent="0.25"/>
    <row r="322" s="1" customFormat="1" ht="15" customHeight="1" x14ac:dyDescent="0.25"/>
    <row r="323" s="1" customFormat="1" ht="15" customHeight="1" x14ac:dyDescent="0.25"/>
    <row r="324" s="1" customFormat="1" ht="15" customHeight="1" x14ac:dyDescent="0.25"/>
    <row r="325" s="1" customFormat="1" ht="15" customHeight="1" x14ac:dyDescent="0.25"/>
    <row r="326" s="1" customFormat="1" ht="15" customHeight="1" x14ac:dyDescent="0.25"/>
    <row r="327" s="1" customFormat="1" ht="15" customHeight="1" x14ac:dyDescent="0.25"/>
    <row r="328" s="1" customFormat="1" ht="15" customHeight="1" x14ac:dyDescent="0.25"/>
    <row r="329" s="1" customFormat="1" ht="15" customHeight="1" x14ac:dyDescent="0.25"/>
    <row r="330" s="1" customFormat="1" ht="15" customHeight="1" x14ac:dyDescent="0.25"/>
    <row r="331" s="1" customFormat="1" ht="15" customHeight="1" x14ac:dyDescent="0.25"/>
    <row r="332" s="1" customFormat="1" ht="15" customHeight="1" x14ac:dyDescent="0.25"/>
    <row r="333" s="1" customFormat="1" ht="15" customHeight="1" x14ac:dyDescent="0.25"/>
    <row r="334" s="1" customFormat="1" ht="15" customHeight="1" x14ac:dyDescent="0.25"/>
    <row r="335" s="1" customFormat="1" ht="15" customHeight="1" x14ac:dyDescent="0.25"/>
    <row r="336" s="1" customFormat="1" ht="15" customHeight="1" x14ac:dyDescent="0.25"/>
    <row r="337" s="1" customFormat="1" ht="15" customHeight="1" x14ac:dyDescent="0.25"/>
    <row r="338" s="1" customFormat="1" ht="15" customHeight="1" x14ac:dyDescent="0.25"/>
    <row r="339" s="1" customFormat="1" ht="15" customHeight="1" x14ac:dyDescent="0.25"/>
    <row r="340" s="1" customFormat="1" ht="15" customHeight="1" x14ac:dyDescent="0.25"/>
    <row r="341" s="1" customFormat="1" ht="15" customHeight="1" x14ac:dyDescent="0.25"/>
    <row r="342" s="1" customFormat="1" ht="15" customHeight="1" x14ac:dyDescent="0.25"/>
    <row r="343" s="1" customFormat="1" ht="15" customHeight="1" x14ac:dyDescent="0.25"/>
    <row r="344" s="1" customFormat="1" ht="15" customHeight="1" x14ac:dyDescent="0.25"/>
    <row r="345" s="1" customFormat="1" ht="15" customHeight="1" x14ac:dyDescent="0.25"/>
    <row r="346" s="1" customFormat="1" ht="15" customHeight="1" x14ac:dyDescent="0.25"/>
    <row r="347" s="1" customFormat="1" ht="15" customHeight="1" x14ac:dyDescent="0.25"/>
    <row r="348" s="1" customFormat="1" ht="15" customHeight="1" x14ac:dyDescent="0.25"/>
    <row r="349" s="1" customFormat="1" ht="15" customHeight="1" x14ac:dyDescent="0.25"/>
    <row r="350" s="1" customFormat="1" ht="15" customHeight="1" x14ac:dyDescent="0.25"/>
    <row r="351" s="1" customFormat="1" ht="15" customHeight="1" x14ac:dyDescent="0.25"/>
    <row r="352" s="1" customFormat="1" ht="15" customHeight="1" x14ac:dyDescent="0.25"/>
    <row r="353" s="1" customFormat="1" ht="15" customHeight="1" x14ac:dyDescent="0.25"/>
    <row r="354" s="1" customFormat="1" ht="15" customHeight="1" x14ac:dyDescent="0.25"/>
    <row r="355" s="1" customFormat="1" ht="15" customHeight="1" x14ac:dyDescent="0.25"/>
    <row r="356" s="1" customFormat="1" ht="15" customHeight="1" x14ac:dyDescent="0.25"/>
    <row r="357" s="1" customFormat="1" ht="15" customHeight="1" x14ac:dyDescent="0.25"/>
    <row r="358" s="1" customFormat="1" ht="15" customHeight="1" x14ac:dyDescent="0.25"/>
    <row r="359" s="1" customFormat="1" ht="15" customHeight="1" x14ac:dyDescent="0.25"/>
    <row r="360" s="1" customFormat="1" ht="15" customHeight="1" x14ac:dyDescent="0.25"/>
    <row r="361" s="1" customFormat="1" ht="15" customHeight="1" x14ac:dyDescent="0.25"/>
    <row r="362" s="1" customFormat="1" ht="15" customHeight="1" x14ac:dyDescent="0.25"/>
    <row r="363" s="1" customFormat="1" ht="15" customHeight="1" x14ac:dyDescent="0.25"/>
    <row r="364" s="1" customFormat="1" ht="15" customHeight="1" x14ac:dyDescent="0.25"/>
    <row r="365" s="1" customFormat="1" ht="15" customHeight="1" x14ac:dyDescent="0.25"/>
    <row r="366" s="1" customFormat="1" ht="15" customHeight="1" x14ac:dyDescent="0.25"/>
    <row r="367" s="1" customFormat="1" ht="15" customHeight="1" x14ac:dyDescent="0.25"/>
    <row r="368" s="1" customFormat="1" ht="15" customHeight="1" x14ac:dyDescent="0.25"/>
    <row r="369" s="1" customFormat="1" ht="15" customHeight="1" x14ac:dyDescent="0.25"/>
    <row r="370" s="1" customFormat="1" ht="15" customHeight="1" x14ac:dyDescent="0.25"/>
    <row r="371" s="1" customFormat="1" ht="15" customHeight="1" x14ac:dyDescent="0.25"/>
    <row r="372" s="1" customFormat="1" ht="15" customHeight="1" x14ac:dyDescent="0.25"/>
    <row r="373" s="1" customFormat="1" ht="15" customHeight="1" x14ac:dyDescent="0.25"/>
    <row r="374" s="1" customFormat="1" ht="15" customHeight="1" x14ac:dyDescent="0.25"/>
    <row r="375" s="1" customFormat="1" ht="15" customHeight="1" x14ac:dyDescent="0.25"/>
    <row r="376" s="1" customFormat="1" ht="15" customHeight="1" x14ac:dyDescent="0.25"/>
    <row r="377" s="1" customFormat="1" ht="15" customHeight="1" x14ac:dyDescent="0.25"/>
    <row r="378" s="1" customFormat="1" ht="15" customHeight="1" x14ac:dyDescent="0.25"/>
    <row r="379" s="1" customFormat="1" ht="15" customHeight="1" x14ac:dyDescent="0.25"/>
    <row r="380" s="1" customFormat="1" ht="15" customHeight="1" x14ac:dyDescent="0.25"/>
    <row r="381" s="1" customFormat="1" ht="15" customHeight="1" x14ac:dyDescent="0.25"/>
    <row r="382" s="1" customFormat="1" ht="15" customHeight="1" x14ac:dyDescent="0.25"/>
    <row r="383" s="1" customFormat="1" ht="15" customHeight="1" x14ac:dyDescent="0.25"/>
    <row r="384" s="1" customFormat="1" ht="15" customHeight="1" x14ac:dyDescent="0.25"/>
    <row r="385" s="1" customFormat="1" ht="15" customHeight="1" x14ac:dyDescent="0.25"/>
    <row r="386" s="1" customFormat="1" ht="15" customHeight="1" x14ac:dyDescent="0.25"/>
    <row r="387" s="1" customFormat="1" ht="15" customHeight="1" x14ac:dyDescent="0.25"/>
    <row r="388" s="1" customFormat="1" ht="15" customHeight="1" x14ac:dyDescent="0.25"/>
    <row r="389" s="1" customFormat="1" ht="15" customHeight="1" x14ac:dyDescent="0.25"/>
    <row r="390" s="1" customFormat="1" ht="15" customHeight="1" x14ac:dyDescent="0.25"/>
    <row r="391" s="1" customFormat="1" ht="15" customHeight="1" x14ac:dyDescent="0.25"/>
    <row r="392" s="1" customFormat="1" ht="15" customHeight="1" x14ac:dyDescent="0.25"/>
    <row r="393" s="1" customFormat="1" ht="15" customHeight="1" x14ac:dyDescent="0.25"/>
    <row r="394" s="1" customFormat="1" ht="15" customHeight="1" x14ac:dyDescent="0.25"/>
    <row r="395" s="1" customFormat="1" ht="15" customHeight="1" x14ac:dyDescent="0.25"/>
    <row r="396" s="1" customFormat="1" ht="15" customHeight="1" x14ac:dyDescent="0.25"/>
    <row r="397" s="1" customFormat="1" ht="15" customHeight="1" x14ac:dyDescent="0.25"/>
    <row r="398" s="1" customFormat="1" ht="15" customHeight="1" x14ac:dyDescent="0.25"/>
    <row r="399" s="1" customFormat="1" ht="15" customHeight="1" x14ac:dyDescent="0.25"/>
    <row r="400" s="1" customFormat="1" ht="15" customHeight="1" x14ac:dyDescent="0.25"/>
    <row r="401" s="1" customFormat="1" ht="15" customHeight="1" x14ac:dyDescent="0.25"/>
    <row r="402" s="1" customFormat="1" ht="15" customHeight="1" x14ac:dyDescent="0.25"/>
    <row r="403" s="1" customFormat="1" ht="15" customHeight="1" x14ac:dyDescent="0.25"/>
    <row r="404" s="1" customFormat="1" ht="15" customHeight="1" x14ac:dyDescent="0.25"/>
    <row r="405" s="1" customFormat="1" ht="15" customHeight="1" x14ac:dyDescent="0.25"/>
  </sheetData>
  <sheetProtection algorithmName="SHA-512" hashValue="0vTf/9nDrO/FJg2ueRzG3vY9SRVxxqsh9s8xR4XG0MCA92JUWHD4fLb4dbAF54s2y0C8msvHcsguZH5uRNfEyw==" saltValue="YApA/YHD/FaLjmi0yYwgpQ==" spinCount="100000" sheet="1" objects="1" scenarios="1"/>
  <mergeCells count="18">
    <mergeCell ref="C40:AO40"/>
    <mergeCell ref="C41:AO45"/>
    <mergeCell ref="G27:T27"/>
    <mergeCell ref="U27:W27"/>
    <mergeCell ref="U28:W28"/>
    <mergeCell ref="U29:W29"/>
    <mergeCell ref="U30:W30"/>
    <mergeCell ref="U31:W31"/>
    <mergeCell ref="U32:W32"/>
    <mergeCell ref="AI35:AO36"/>
    <mergeCell ref="U25:W25"/>
    <mergeCell ref="U26:W26"/>
    <mergeCell ref="C7:AO8"/>
    <mergeCell ref="C13:AO16"/>
    <mergeCell ref="C21:AO21"/>
    <mergeCell ref="U23:W23"/>
    <mergeCell ref="G24:T24"/>
    <mergeCell ref="U24:W24"/>
  </mergeCells>
  <dataValidations count="1">
    <dataValidation type="list" allowBlank="1" showInputMessage="1" showErrorMessage="1" sqref="G32" xr:uid="{869E9AAD-DB6D-4FD7-BEDD-FC9BC85D3874}">
      <formula1>pbsrange1</formula1>
    </dataValidation>
  </dataValidations>
  <printOptions horizontalCentered="1" verticalCentered="1"/>
  <pageMargins left="0.2" right="0.2" top="0.2" bottom="0.2" header="0" footer="0"/>
  <pageSetup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E228F-B764-4AA1-850B-46C183E2657E}">
  <sheetPr codeName="Sheet6">
    <pageSetUpPr fitToPage="1"/>
  </sheetPr>
  <dimension ref="B1:AP405"/>
  <sheetViews>
    <sheetView zoomScaleNormal="100" workbookViewId="0"/>
  </sheetViews>
  <sheetFormatPr defaultRowHeight="15" x14ac:dyDescent="0.25"/>
  <cols>
    <col min="1" max="240" width="2.7109375" style="1" customWidth="1"/>
    <col min="241" max="16384" width="9.140625" style="1"/>
  </cols>
  <sheetData>
    <row r="1" spans="2:42" ht="18" customHeight="1" x14ac:dyDescent="0.25"/>
    <row r="2" spans="2:42" ht="18" customHeight="1" x14ac:dyDescent="0.25">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5"/>
    </row>
    <row r="3" spans="2:42" ht="18" customHeight="1" x14ac:dyDescent="0.25">
      <c r="B3" s="6"/>
      <c r="AO3" s="7" t="s">
        <v>341</v>
      </c>
      <c r="AP3" s="8"/>
    </row>
    <row r="4" spans="2:42" ht="18" customHeight="1" x14ac:dyDescent="0.25">
      <c r="B4" s="6"/>
      <c r="AO4" s="9" t="s">
        <v>4</v>
      </c>
      <c r="AP4" s="8"/>
    </row>
    <row r="5" spans="2:42" ht="18" customHeight="1" x14ac:dyDescent="0.25">
      <c r="B5" s="6"/>
      <c r="AO5" s="9" t="s">
        <v>12</v>
      </c>
      <c r="AP5" s="8"/>
    </row>
    <row r="6" spans="2:42" ht="18" customHeight="1" thickBot="1" x14ac:dyDescent="0.3">
      <c r="B6" s="6"/>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G6" s="10"/>
      <c r="AH6" s="10"/>
      <c r="AI6" s="10"/>
      <c r="AJ6" s="10"/>
      <c r="AK6" s="10"/>
      <c r="AL6" s="10"/>
      <c r="AM6" s="10"/>
      <c r="AN6" s="10"/>
      <c r="AO6" s="11" t="s">
        <v>13</v>
      </c>
      <c r="AP6" s="8"/>
    </row>
    <row r="7" spans="2:42" ht="18" customHeight="1" x14ac:dyDescent="0.25">
      <c r="B7" s="6"/>
      <c r="C7" s="188" t="s">
        <v>357</v>
      </c>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8"/>
    </row>
    <row r="8" spans="2:42" ht="18" customHeight="1" x14ac:dyDescent="0.25">
      <c r="B8" s="6"/>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8"/>
    </row>
    <row r="9" spans="2:42" ht="18" customHeight="1" x14ac:dyDescent="0.25">
      <c r="B9" s="20"/>
      <c r="D9" s="21"/>
      <c r="E9" s="22"/>
      <c r="F9" s="22"/>
      <c r="G9" s="22"/>
      <c r="H9" s="22"/>
      <c r="I9" s="23"/>
      <c r="J9" s="24"/>
      <c r="K9" s="24"/>
      <c r="L9" s="24"/>
      <c r="M9" s="24"/>
      <c r="N9" s="24"/>
      <c r="O9" s="24"/>
      <c r="P9" s="24"/>
      <c r="Q9" s="24"/>
      <c r="R9" s="24"/>
      <c r="S9" s="24"/>
      <c r="T9" s="24"/>
      <c r="U9" s="24"/>
      <c r="V9" s="24"/>
      <c r="W9" s="24"/>
      <c r="X9" s="24"/>
      <c r="Y9" s="24"/>
      <c r="Z9" s="24"/>
      <c r="AA9" s="24"/>
      <c r="AB9" s="24"/>
      <c r="AC9" s="24" t="s">
        <v>11</v>
      </c>
      <c r="AD9" s="24"/>
      <c r="AE9" s="24"/>
      <c r="AG9" s="25"/>
      <c r="AH9" s="25"/>
      <c r="AI9" s="25"/>
      <c r="AJ9" s="25"/>
      <c r="AK9" s="25"/>
      <c r="AL9" s="25"/>
      <c r="AM9" s="25"/>
      <c r="AN9" s="26" t="s">
        <v>276</v>
      </c>
      <c r="AO9" s="25"/>
      <c r="AP9" s="8"/>
    </row>
    <row r="10" spans="2:42" ht="18" customHeight="1" x14ac:dyDescent="0.25">
      <c r="B10" s="6"/>
      <c r="AP10" s="8"/>
    </row>
    <row r="11" spans="2:42" ht="18" customHeight="1" x14ac:dyDescent="0.25">
      <c r="B11" s="6"/>
      <c r="C11" s="16" t="s">
        <v>277</v>
      </c>
      <c r="AP11" s="8"/>
    </row>
    <row r="12" spans="2:42" ht="18" customHeight="1" x14ac:dyDescent="0.25">
      <c r="B12" s="6"/>
      <c r="AP12" s="8"/>
    </row>
    <row r="13" spans="2:42" ht="18" customHeight="1" x14ac:dyDescent="0.25">
      <c r="B13" s="6"/>
      <c r="C13" s="96" t="s">
        <v>294</v>
      </c>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8"/>
    </row>
    <row r="14" spans="2:42" ht="18" customHeight="1" x14ac:dyDescent="0.25">
      <c r="B14" s="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8"/>
    </row>
    <row r="15" spans="2:42" ht="18" customHeight="1" x14ac:dyDescent="0.25">
      <c r="B15" s="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8"/>
    </row>
    <row r="16" spans="2:42" ht="18" customHeight="1" x14ac:dyDescent="0.25">
      <c r="B16" s="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8"/>
    </row>
    <row r="17" spans="2:42" ht="18" customHeight="1" x14ac:dyDescent="0.25">
      <c r="B17" s="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8"/>
    </row>
    <row r="18" spans="2:42" ht="18" customHeight="1" x14ac:dyDescent="0.25">
      <c r="B18" s="6"/>
      <c r="AP18" s="8"/>
    </row>
    <row r="19" spans="2:42" ht="18" customHeight="1" x14ac:dyDescent="0.25">
      <c r="B19" s="6"/>
      <c r="C19" s="16" t="s">
        <v>279</v>
      </c>
      <c r="AP19" s="8"/>
    </row>
    <row r="20" spans="2:42" ht="18" customHeight="1" x14ac:dyDescent="0.25">
      <c r="B20" s="6"/>
      <c r="AP20" s="8"/>
    </row>
    <row r="21" spans="2:42" ht="18" customHeight="1" x14ac:dyDescent="0.25">
      <c r="B21" s="6"/>
      <c r="C21" s="218" t="s">
        <v>295</v>
      </c>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8"/>
    </row>
    <row r="22" spans="2:42" ht="18" customHeight="1" x14ac:dyDescent="0.25">
      <c r="B22" s="6"/>
      <c r="AP22" s="8"/>
    </row>
    <row r="23" spans="2:42" ht="18" customHeight="1" x14ac:dyDescent="0.35">
      <c r="B23" s="6"/>
      <c r="T23" s="29" t="s">
        <v>296</v>
      </c>
      <c r="U23" s="230">
        <v>85.29</v>
      </c>
      <c r="V23" s="230"/>
      <c r="W23" s="230"/>
      <c r="Y23" s="1" t="s">
        <v>282</v>
      </c>
      <c r="AP23" s="8"/>
    </row>
    <row r="24" spans="2:42" ht="18" customHeight="1" x14ac:dyDescent="0.35">
      <c r="B24" s="6"/>
      <c r="T24" s="29" t="s">
        <v>342</v>
      </c>
      <c r="U24" s="230">
        <v>2047.06</v>
      </c>
      <c r="V24" s="230"/>
      <c r="W24" s="230"/>
      <c r="Y24" s="1" t="s">
        <v>282</v>
      </c>
      <c r="AP24" s="8"/>
    </row>
    <row r="25" spans="2:42" ht="18" customHeight="1" x14ac:dyDescent="0.25">
      <c r="B25" s="6"/>
      <c r="T25" s="29" t="s">
        <v>291</v>
      </c>
      <c r="U25" s="227">
        <v>19.440000000000001</v>
      </c>
      <c r="V25" s="228"/>
      <c r="W25" s="229"/>
      <c r="Y25" s="1" t="s">
        <v>44</v>
      </c>
      <c r="AP25" s="8"/>
    </row>
    <row r="26" spans="2:42" ht="18" customHeight="1" x14ac:dyDescent="0.25">
      <c r="B26" s="6"/>
      <c r="G26" s="89" t="s">
        <v>283</v>
      </c>
      <c r="H26" s="89"/>
      <c r="I26" s="89"/>
      <c r="J26" s="89"/>
      <c r="K26" s="89"/>
      <c r="L26" s="89"/>
      <c r="M26" s="89"/>
      <c r="N26" s="89"/>
      <c r="O26" s="89"/>
      <c r="P26" s="89"/>
      <c r="Q26" s="89"/>
      <c r="R26" s="89"/>
      <c r="S26" s="89"/>
      <c r="T26" s="89"/>
      <c r="U26" s="235">
        <v>3.44</v>
      </c>
      <c r="V26" s="235"/>
      <c r="W26" s="235"/>
      <c r="Y26" s="1" t="s">
        <v>84</v>
      </c>
      <c r="AP26" s="8"/>
    </row>
    <row r="27" spans="2:42" ht="18" customHeight="1" x14ac:dyDescent="0.25">
      <c r="B27" s="6"/>
      <c r="T27" s="32" t="s">
        <v>41</v>
      </c>
      <c r="U27" s="230">
        <v>12.47</v>
      </c>
      <c r="V27" s="230"/>
      <c r="W27" s="230"/>
      <c r="Y27" s="1" t="s">
        <v>42</v>
      </c>
      <c r="AP27" s="8"/>
    </row>
    <row r="28" spans="2:42" ht="18" customHeight="1" x14ac:dyDescent="0.25">
      <c r="B28" s="6"/>
      <c r="G28" s="89" t="s">
        <v>58</v>
      </c>
      <c r="H28" s="89"/>
      <c r="I28" s="89"/>
      <c r="J28" s="89"/>
      <c r="K28" s="89"/>
      <c r="L28" s="89"/>
      <c r="M28" s="89"/>
      <c r="N28" s="89"/>
      <c r="O28" s="89"/>
      <c r="P28" s="89"/>
      <c r="Q28" s="89"/>
      <c r="R28" s="89"/>
      <c r="S28" s="89"/>
      <c r="T28" s="168"/>
      <c r="U28" s="230">
        <v>60</v>
      </c>
      <c r="V28" s="230"/>
      <c r="W28" s="230"/>
      <c r="Y28" s="1" t="s">
        <v>54</v>
      </c>
      <c r="AP28" s="8"/>
    </row>
    <row r="29" spans="2:42" ht="18" customHeight="1" x14ac:dyDescent="0.35">
      <c r="B29" s="6"/>
      <c r="T29" s="67" t="s">
        <v>284</v>
      </c>
      <c r="U29" s="226">
        <f>2*3.1415*U28*U26/1000</f>
        <v>1.2968112000000001</v>
      </c>
      <c r="V29" s="226"/>
      <c r="W29" s="226"/>
      <c r="Y29" s="1" t="s">
        <v>44</v>
      </c>
      <c r="AP29" s="8"/>
    </row>
    <row r="30" spans="2:42" ht="18" customHeight="1" x14ac:dyDescent="0.35">
      <c r="B30" s="6"/>
      <c r="T30" s="67" t="s">
        <v>345</v>
      </c>
      <c r="U30" s="226">
        <f>1/(2*3.1415*U28*(U23/(1000*1000)))</f>
        <v>31.101660436164337</v>
      </c>
      <c r="V30" s="226"/>
      <c r="W30" s="226"/>
      <c r="Y30" s="1" t="s">
        <v>285</v>
      </c>
      <c r="AP30" s="8"/>
    </row>
    <row r="31" spans="2:42" ht="18" customHeight="1" x14ac:dyDescent="0.35">
      <c r="B31" s="6"/>
      <c r="T31" s="67" t="s">
        <v>297</v>
      </c>
      <c r="U31" s="226">
        <f>1/(2*3.1415*U28*(U24/(1000*1000)))</f>
        <v>1.2958392126271123</v>
      </c>
      <c r="V31" s="226"/>
      <c r="W31" s="226"/>
      <c r="Y31" s="1" t="s">
        <v>285</v>
      </c>
      <c r="AP31" s="8"/>
    </row>
    <row r="32" spans="2:42" ht="18" customHeight="1" x14ac:dyDescent="0.25">
      <c r="B32" s="6"/>
      <c r="T32" s="67" t="s">
        <v>286</v>
      </c>
      <c r="U32" s="234">
        <f>SQRT((U30+U31)/U29)</f>
        <v>4.9982430476918349</v>
      </c>
      <c r="V32" s="234"/>
      <c r="W32" s="234"/>
      <c r="AP32" s="8"/>
    </row>
    <row r="33" spans="2:42" ht="18" customHeight="1" x14ac:dyDescent="0.25">
      <c r="B33" s="6"/>
      <c r="T33" s="67" t="s">
        <v>292</v>
      </c>
      <c r="U33" s="234">
        <f>U25/(U29*U32)</f>
        <v>2.9991772791254263</v>
      </c>
      <c r="V33" s="234"/>
      <c r="W33" s="234"/>
      <c r="AP33" s="8"/>
    </row>
    <row r="34" spans="2:42" ht="18" customHeight="1" x14ac:dyDescent="0.35">
      <c r="B34" s="6"/>
      <c r="T34" s="67" t="s">
        <v>287</v>
      </c>
      <c r="U34" s="223">
        <f>U27*U27/(U30+U31-U29)</f>
        <v>4.9999182576308101</v>
      </c>
      <c r="V34" s="223"/>
      <c r="W34" s="223"/>
      <c r="X34" s="34"/>
      <c r="Y34" s="1" t="s">
        <v>288</v>
      </c>
      <c r="AP34" s="8"/>
    </row>
    <row r="35" spans="2:42" ht="18" customHeight="1" x14ac:dyDescent="0.25">
      <c r="B35" s="6"/>
      <c r="AI35" s="224" t="s">
        <v>298</v>
      </c>
      <c r="AJ35" s="224"/>
      <c r="AK35" s="224"/>
      <c r="AL35" s="224"/>
      <c r="AM35" s="224"/>
      <c r="AN35" s="224"/>
      <c r="AO35" s="224"/>
      <c r="AP35" s="8"/>
    </row>
    <row r="36" spans="2:42" ht="18" customHeight="1" x14ac:dyDescent="0.25">
      <c r="B36" s="6"/>
      <c r="AI36" s="224"/>
      <c r="AJ36" s="224"/>
      <c r="AK36" s="224"/>
      <c r="AL36" s="224"/>
      <c r="AM36" s="224"/>
      <c r="AN36" s="224"/>
      <c r="AO36" s="224"/>
      <c r="AP36" s="8"/>
    </row>
    <row r="37" spans="2:42" ht="18" customHeight="1" x14ac:dyDescent="0.25">
      <c r="B37" s="6"/>
      <c r="AP37" s="8"/>
    </row>
    <row r="38" spans="2:42" ht="18" customHeight="1" x14ac:dyDescent="0.25">
      <c r="B38" s="6"/>
      <c r="C38" s="92" t="s">
        <v>306</v>
      </c>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8"/>
    </row>
    <row r="39" spans="2:42" ht="18" customHeight="1" x14ac:dyDescent="0.25">
      <c r="B39" s="6"/>
      <c r="C39" s="94" t="s">
        <v>307</v>
      </c>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8"/>
    </row>
    <row r="40" spans="2:42" ht="18" customHeight="1" x14ac:dyDescent="0.25">
      <c r="B40" s="6"/>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8"/>
    </row>
    <row r="41" spans="2:42" ht="18" customHeight="1" x14ac:dyDescent="0.25">
      <c r="B41" s="6"/>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8"/>
    </row>
    <row r="42" spans="2:42" ht="18" customHeight="1" x14ac:dyDescent="0.25">
      <c r="B42" s="6"/>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8"/>
    </row>
    <row r="43" spans="2:42" ht="18" customHeight="1" x14ac:dyDescent="0.25">
      <c r="B43" s="6"/>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8"/>
    </row>
    <row r="44" spans="2:42" ht="18" customHeight="1" x14ac:dyDescent="0.25">
      <c r="B44" s="6"/>
      <c r="AP44" s="8"/>
    </row>
    <row r="45" spans="2:42" ht="18" customHeight="1" x14ac:dyDescent="0.25">
      <c r="B45" s="6"/>
      <c r="AP45" s="8"/>
    </row>
    <row r="46" spans="2:42" ht="18" customHeight="1" x14ac:dyDescent="0.25">
      <c r="B46" s="6"/>
      <c r="AP46" s="43"/>
    </row>
    <row r="47" spans="2:42" ht="18" customHeight="1" thickBot="1" x14ac:dyDescent="0.3">
      <c r="B47" s="6"/>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1"/>
      <c r="AO47" s="11"/>
      <c r="AP47" s="8"/>
    </row>
    <row r="48" spans="2:42" ht="18" customHeight="1" x14ac:dyDescent="0.25">
      <c r="B48" s="6"/>
      <c r="D48" s="44" t="s">
        <v>94</v>
      </c>
      <c r="AO48" s="45" t="s">
        <v>95</v>
      </c>
      <c r="AP48" s="8"/>
    </row>
    <row r="49" spans="2:42" ht="18" customHeight="1" x14ac:dyDescent="0.25">
      <c r="B49" s="46"/>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8"/>
    </row>
    <row r="50" spans="2:42" ht="18" customHeight="1" x14ac:dyDescent="0.25"/>
    <row r="51" spans="2:42" ht="15" customHeight="1" x14ac:dyDescent="0.25"/>
    <row r="52" spans="2:42" ht="15" customHeight="1" x14ac:dyDescent="0.25"/>
    <row r="53" spans="2:42" ht="15" customHeight="1" x14ac:dyDescent="0.25"/>
    <row r="54" spans="2:42" ht="15" customHeight="1" x14ac:dyDescent="0.25"/>
    <row r="55" spans="2:42" ht="15" customHeight="1" x14ac:dyDescent="0.25"/>
    <row r="56" spans="2:42" ht="15" customHeight="1" x14ac:dyDescent="0.25"/>
    <row r="57" spans="2:42" ht="15" customHeight="1" x14ac:dyDescent="0.25"/>
    <row r="58" spans="2:42" ht="15" customHeight="1" x14ac:dyDescent="0.25"/>
    <row r="59" spans="2:42" ht="15" customHeight="1" x14ac:dyDescent="0.25"/>
    <row r="60" spans="2:42" ht="15" customHeight="1" x14ac:dyDescent="0.25"/>
    <row r="61" spans="2:42" ht="15" customHeight="1" x14ac:dyDescent="0.25"/>
    <row r="62" spans="2:42" ht="15" customHeight="1" x14ac:dyDescent="0.25"/>
    <row r="63" spans="2:42" ht="15" customHeight="1" x14ac:dyDescent="0.25"/>
    <row r="64" spans="2:42" ht="15" customHeight="1" x14ac:dyDescent="0.25"/>
    <row r="65" s="1" customFormat="1" ht="15" customHeight="1" x14ac:dyDescent="0.25"/>
    <row r="66" s="1" customFormat="1" ht="15" customHeight="1" x14ac:dyDescent="0.25"/>
    <row r="67" s="1" customFormat="1" ht="15" customHeight="1" x14ac:dyDescent="0.25"/>
    <row r="68" s="1" customFormat="1" ht="15" customHeight="1" x14ac:dyDescent="0.25"/>
    <row r="69" s="1" customFormat="1" ht="15" customHeight="1" x14ac:dyDescent="0.25"/>
    <row r="70" s="1" customFormat="1" ht="15" customHeight="1" x14ac:dyDescent="0.25"/>
    <row r="71" s="1" customFormat="1" ht="15" customHeight="1" x14ac:dyDescent="0.25"/>
    <row r="72" s="1" customFormat="1" ht="15" customHeight="1" x14ac:dyDescent="0.25"/>
    <row r="73" s="1" customFormat="1" ht="15" customHeight="1" x14ac:dyDescent="0.25"/>
    <row r="74" s="1" customFormat="1" ht="15" customHeight="1" x14ac:dyDescent="0.25"/>
    <row r="75" s="1" customFormat="1" ht="15" customHeight="1" x14ac:dyDescent="0.25"/>
    <row r="76" s="1" customFormat="1" ht="15" customHeight="1" x14ac:dyDescent="0.25"/>
    <row r="77" s="1" customFormat="1" ht="15" customHeight="1" x14ac:dyDescent="0.25"/>
    <row r="78" s="1" customFormat="1" ht="15" customHeight="1" x14ac:dyDescent="0.25"/>
    <row r="79" s="1" customFormat="1" ht="15" customHeight="1" x14ac:dyDescent="0.25"/>
    <row r="80" s="1" customFormat="1" ht="15" customHeight="1" x14ac:dyDescent="0.25"/>
    <row r="81" s="1" customFormat="1" ht="15" customHeight="1" x14ac:dyDescent="0.25"/>
    <row r="82" s="1" customFormat="1" ht="15" customHeight="1" x14ac:dyDescent="0.25"/>
    <row r="83" s="1" customFormat="1" ht="15" customHeight="1" x14ac:dyDescent="0.25"/>
    <row r="84" s="1" customFormat="1" ht="15" customHeight="1" x14ac:dyDescent="0.25"/>
    <row r="85" s="1" customFormat="1" ht="15" customHeight="1" x14ac:dyDescent="0.25"/>
    <row r="86" s="1" customFormat="1" ht="15" customHeight="1" x14ac:dyDescent="0.25"/>
    <row r="87" s="1" customFormat="1" ht="15" customHeight="1" x14ac:dyDescent="0.25"/>
    <row r="88" s="1" customFormat="1" ht="15" customHeight="1" x14ac:dyDescent="0.25"/>
    <row r="89" s="1" customFormat="1" ht="15" customHeight="1" x14ac:dyDescent="0.25"/>
    <row r="90" s="1" customFormat="1" ht="15" customHeight="1" x14ac:dyDescent="0.25"/>
    <row r="91" s="1" customFormat="1" ht="15" customHeight="1" x14ac:dyDescent="0.25"/>
    <row r="92" s="1" customFormat="1" ht="15" customHeight="1" x14ac:dyDescent="0.25"/>
    <row r="93" s="1" customFormat="1" ht="15" customHeight="1" x14ac:dyDescent="0.25"/>
    <row r="94" s="1" customFormat="1" ht="15" customHeight="1" x14ac:dyDescent="0.25"/>
    <row r="95" s="1" customFormat="1" ht="15" customHeight="1" x14ac:dyDescent="0.25"/>
    <row r="96" s="1" customFormat="1" ht="15" customHeight="1" x14ac:dyDescent="0.25"/>
    <row r="97" s="1" customFormat="1" ht="15" customHeight="1" x14ac:dyDescent="0.25"/>
    <row r="98" s="1" customFormat="1" ht="15" customHeight="1" x14ac:dyDescent="0.25"/>
    <row r="99" s="1" customFormat="1" ht="15" customHeight="1" x14ac:dyDescent="0.25"/>
    <row r="100" s="1" customFormat="1" ht="15" customHeight="1" x14ac:dyDescent="0.25"/>
    <row r="101" s="1" customFormat="1" ht="15" customHeight="1" x14ac:dyDescent="0.25"/>
    <row r="102" s="1" customFormat="1" ht="15" customHeight="1" x14ac:dyDescent="0.25"/>
    <row r="103" s="1" customFormat="1" ht="15" customHeight="1" x14ac:dyDescent="0.25"/>
    <row r="104" s="1" customFormat="1" ht="15" customHeight="1" x14ac:dyDescent="0.25"/>
    <row r="105" s="1" customFormat="1" ht="15" customHeight="1" x14ac:dyDescent="0.25"/>
    <row r="106" s="1" customFormat="1" ht="15" customHeight="1" x14ac:dyDescent="0.25"/>
    <row r="107" s="1" customFormat="1" ht="15" customHeight="1" x14ac:dyDescent="0.25"/>
    <row r="108" s="1" customFormat="1" ht="15" customHeight="1" x14ac:dyDescent="0.25"/>
    <row r="109" s="1" customFormat="1" ht="15" customHeight="1" x14ac:dyDescent="0.25"/>
    <row r="110" s="1" customFormat="1" ht="15" customHeight="1" x14ac:dyDescent="0.25"/>
    <row r="111" s="1" customFormat="1" ht="15" customHeight="1" x14ac:dyDescent="0.25"/>
    <row r="112" s="1" customFormat="1" ht="15" customHeight="1" x14ac:dyDescent="0.25"/>
    <row r="113" s="1" customFormat="1" ht="15" customHeight="1" x14ac:dyDescent="0.25"/>
    <row r="114" s="1" customFormat="1" ht="15" customHeight="1" x14ac:dyDescent="0.25"/>
    <row r="115" s="1" customFormat="1" ht="15" customHeight="1" x14ac:dyDescent="0.25"/>
    <row r="116" s="1" customFormat="1" ht="15" customHeight="1" x14ac:dyDescent="0.25"/>
    <row r="117" s="1" customFormat="1" ht="15" customHeight="1" x14ac:dyDescent="0.25"/>
    <row r="118" s="1" customFormat="1" ht="15" customHeight="1" x14ac:dyDescent="0.25"/>
    <row r="119" s="1" customFormat="1" ht="15" customHeight="1" x14ac:dyDescent="0.25"/>
    <row r="120" s="1" customFormat="1" ht="15" customHeight="1" x14ac:dyDescent="0.25"/>
    <row r="121" s="1" customFormat="1" ht="15" customHeight="1" x14ac:dyDescent="0.25"/>
    <row r="122" s="1" customFormat="1" ht="15" customHeight="1" x14ac:dyDescent="0.25"/>
    <row r="123" s="1" customFormat="1" ht="15" customHeight="1" x14ac:dyDescent="0.25"/>
    <row r="124" s="1" customFormat="1" ht="15" customHeight="1" x14ac:dyDescent="0.25"/>
    <row r="125" s="1" customFormat="1" ht="15" customHeight="1" x14ac:dyDescent="0.25"/>
    <row r="126" s="1" customFormat="1" ht="15" customHeight="1" x14ac:dyDescent="0.25"/>
    <row r="127" s="1" customFormat="1" ht="15" customHeight="1" x14ac:dyDescent="0.25"/>
    <row r="128" s="1" customFormat="1" ht="15" customHeight="1" x14ac:dyDescent="0.25"/>
    <row r="129" s="1" customFormat="1" ht="15" customHeight="1" x14ac:dyDescent="0.25"/>
    <row r="130" s="1" customFormat="1" ht="15" customHeight="1" x14ac:dyDescent="0.25"/>
    <row r="131" s="1" customFormat="1" ht="15" customHeight="1" x14ac:dyDescent="0.25"/>
    <row r="132" s="1" customFormat="1" ht="15" customHeight="1" x14ac:dyDescent="0.25"/>
    <row r="133" s="1" customFormat="1" ht="15" customHeight="1" x14ac:dyDescent="0.25"/>
    <row r="134" s="1" customFormat="1" ht="15" customHeight="1" x14ac:dyDescent="0.25"/>
    <row r="135" s="1" customFormat="1" ht="15" customHeight="1" x14ac:dyDescent="0.25"/>
    <row r="136" s="1" customFormat="1" ht="15" customHeight="1" x14ac:dyDescent="0.25"/>
    <row r="137" s="1" customFormat="1" ht="15" customHeight="1" x14ac:dyDescent="0.25"/>
    <row r="138" s="1" customFormat="1" ht="15" customHeight="1" x14ac:dyDescent="0.25"/>
    <row r="139" s="1" customFormat="1" ht="15" customHeight="1" x14ac:dyDescent="0.25"/>
    <row r="140" s="1" customFormat="1" ht="15" customHeight="1" x14ac:dyDescent="0.25"/>
    <row r="141" s="1" customFormat="1" ht="15" customHeight="1" x14ac:dyDescent="0.25"/>
    <row r="142" s="1" customFormat="1" ht="15" customHeight="1" x14ac:dyDescent="0.25"/>
    <row r="143" s="1" customFormat="1" ht="15" customHeight="1" x14ac:dyDescent="0.25"/>
    <row r="144" s="1" customFormat="1" ht="15" customHeight="1" x14ac:dyDescent="0.25"/>
    <row r="145" s="1" customFormat="1" ht="15" customHeight="1" x14ac:dyDescent="0.25"/>
    <row r="146" s="1" customFormat="1" ht="15" customHeight="1" x14ac:dyDescent="0.25"/>
    <row r="147" s="1" customFormat="1" ht="15" customHeight="1" x14ac:dyDescent="0.25"/>
    <row r="148" s="1" customFormat="1" ht="15" customHeight="1" x14ac:dyDescent="0.25"/>
    <row r="149" s="1" customFormat="1" ht="15" customHeight="1" x14ac:dyDescent="0.25"/>
    <row r="150" s="1" customFormat="1" ht="15" customHeight="1" x14ac:dyDescent="0.25"/>
    <row r="151" s="1" customFormat="1" ht="15" customHeight="1" x14ac:dyDescent="0.25"/>
    <row r="152" s="1" customFormat="1" ht="15" customHeight="1" x14ac:dyDescent="0.25"/>
    <row r="153" s="1" customFormat="1" ht="15" customHeight="1" x14ac:dyDescent="0.25"/>
    <row r="154" s="1" customFormat="1" ht="15" customHeight="1" x14ac:dyDescent="0.25"/>
    <row r="155" s="1" customFormat="1" ht="15" customHeight="1" x14ac:dyDescent="0.25"/>
    <row r="156" s="1" customFormat="1" ht="15" customHeight="1" x14ac:dyDescent="0.25"/>
    <row r="157" s="1" customFormat="1" ht="15" customHeight="1" x14ac:dyDescent="0.25"/>
    <row r="158" s="1" customFormat="1" ht="15" customHeight="1" x14ac:dyDescent="0.25"/>
    <row r="159" s="1" customFormat="1" ht="15" customHeight="1" x14ac:dyDescent="0.25"/>
    <row r="160" s="1" customFormat="1" ht="15" customHeight="1" x14ac:dyDescent="0.25"/>
    <row r="161" s="1" customFormat="1" ht="15" customHeight="1" x14ac:dyDescent="0.25"/>
    <row r="162" s="1" customFormat="1" ht="15" customHeight="1" x14ac:dyDescent="0.25"/>
    <row r="163" s="1" customFormat="1" ht="15" customHeight="1" x14ac:dyDescent="0.25"/>
    <row r="164" s="1" customFormat="1" ht="15" customHeight="1" x14ac:dyDescent="0.25"/>
    <row r="165" s="1" customFormat="1" ht="15" customHeight="1" x14ac:dyDescent="0.25"/>
    <row r="166" s="1" customFormat="1" ht="15" customHeight="1" x14ac:dyDescent="0.25"/>
    <row r="167" s="1" customFormat="1" ht="15" customHeight="1" x14ac:dyDescent="0.25"/>
    <row r="168" s="1" customFormat="1" ht="15" customHeight="1" x14ac:dyDescent="0.25"/>
    <row r="169" s="1" customFormat="1" ht="15" customHeight="1" x14ac:dyDescent="0.25"/>
    <row r="170" s="1" customFormat="1" ht="15" customHeight="1" x14ac:dyDescent="0.25"/>
    <row r="171" s="1" customFormat="1" ht="15" customHeight="1" x14ac:dyDescent="0.25"/>
    <row r="172" s="1" customFormat="1" ht="15" customHeight="1" x14ac:dyDescent="0.25"/>
    <row r="173" s="1" customFormat="1" ht="15" customHeight="1" x14ac:dyDescent="0.25"/>
    <row r="174" s="1" customFormat="1" ht="15" customHeight="1" x14ac:dyDescent="0.25"/>
    <row r="175" s="1" customFormat="1" ht="15" customHeight="1" x14ac:dyDescent="0.25"/>
    <row r="176" s="1" customFormat="1" ht="15" customHeight="1" x14ac:dyDescent="0.25"/>
    <row r="177" s="1" customFormat="1" ht="15" customHeight="1" x14ac:dyDescent="0.25"/>
    <row r="178" s="1" customFormat="1" ht="15" customHeight="1" x14ac:dyDescent="0.25"/>
    <row r="179" s="1" customFormat="1" ht="15" customHeight="1" x14ac:dyDescent="0.25"/>
    <row r="180" s="1" customFormat="1" ht="15" customHeight="1" x14ac:dyDescent="0.25"/>
    <row r="181" s="1" customFormat="1" ht="15" customHeight="1" x14ac:dyDescent="0.25"/>
    <row r="182" s="1" customFormat="1" ht="15" customHeight="1" x14ac:dyDescent="0.25"/>
    <row r="183" s="1" customFormat="1" ht="15" customHeight="1" x14ac:dyDescent="0.25"/>
    <row r="184" s="1" customFormat="1" ht="15" customHeight="1" x14ac:dyDescent="0.25"/>
    <row r="185" s="1" customFormat="1" ht="15" customHeight="1" x14ac:dyDescent="0.25"/>
    <row r="186" s="1" customFormat="1" ht="15" customHeight="1" x14ac:dyDescent="0.25"/>
    <row r="187" s="1" customFormat="1" ht="15" customHeight="1" x14ac:dyDescent="0.25"/>
    <row r="188" s="1" customFormat="1" ht="15" customHeight="1" x14ac:dyDescent="0.25"/>
    <row r="189" s="1" customFormat="1" ht="15" customHeight="1" x14ac:dyDescent="0.25"/>
    <row r="190" s="1" customFormat="1" ht="15" customHeight="1" x14ac:dyDescent="0.25"/>
    <row r="191" s="1" customFormat="1" ht="15" customHeight="1" x14ac:dyDescent="0.25"/>
    <row r="192" s="1" customFormat="1" ht="15" customHeight="1" x14ac:dyDescent="0.25"/>
    <row r="193" s="1" customFormat="1" ht="15" customHeight="1" x14ac:dyDescent="0.25"/>
    <row r="194" s="1" customFormat="1" ht="15" customHeight="1" x14ac:dyDescent="0.25"/>
    <row r="195" s="1" customFormat="1" ht="15" customHeight="1" x14ac:dyDescent="0.25"/>
    <row r="196" s="1" customFormat="1" ht="15" customHeight="1" x14ac:dyDescent="0.25"/>
    <row r="197" s="1" customFormat="1" ht="15" customHeight="1" x14ac:dyDescent="0.25"/>
    <row r="198" s="1" customFormat="1" ht="15" customHeight="1" x14ac:dyDescent="0.25"/>
    <row r="199" s="1" customFormat="1" ht="15" customHeight="1" x14ac:dyDescent="0.25"/>
    <row r="200" s="1" customFormat="1" ht="15" customHeight="1" x14ac:dyDescent="0.25"/>
    <row r="201" s="1" customFormat="1" ht="15" customHeight="1" x14ac:dyDescent="0.25"/>
    <row r="202" s="1" customFormat="1" ht="15" customHeight="1" x14ac:dyDescent="0.25"/>
    <row r="203" s="1" customFormat="1" ht="15" customHeight="1" x14ac:dyDescent="0.25"/>
    <row r="204" s="1" customFormat="1" ht="15" customHeight="1" x14ac:dyDescent="0.25"/>
    <row r="205" s="1" customFormat="1" ht="15" customHeight="1" x14ac:dyDescent="0.25"/>
    <row r="206" s="1" customFormat="1" ht="15" customHeight="1" x14ac:dyDescent="0.25"/>
    <row r="207" s="1" customFormat="1" ht="15" customHeight="1" x14ac:dyDescent="0.25"/>
    <row r="208" s="1" customFormat="1" ht="15" customHeight="1" x14ac:dyDescent="0.25"/>
    <row r="209" s="1" customFormat="1" ht="15" customHeight="1" x14ac:dyDescent="0.25"/>
    <row r="210" s="1" customFormat="1" ht="15" customHeight="1" x14ac:dyDescent="0.25"/>
    <row r="211" s="1" customFormat="1" ht="15" customHeight="1" x14ac:dyDescent="0.25"/>
    <row r="212" s="1" customFormat="1" ht="15" customHeight="1" x14ac:dyDescent="0.25"/>
    <row r="213" s="1" customFormat="1" ht="15" customHeight="1" x14ac:dyDescent="0.25"/>
    <row r="214" s="1" customFormat="1" ht="15" customHeight="1" x14ac:dyDescent="0.25"/>
    <row r="215" s="1" customFormat="1" ht="15" customHeight="1" x14ac:dyDescent="0.25"/>
    <row r="216" s="1" customFormat="1" ht="15" customHeight="1" x14ac:dyDescent="0.25"/>
    <row r="217" s="1" customFormat="1" ht="15" customHeight="1" x14ac:dyDescent="0.25"/>
    <row r="218" s="1" customFormat="1" ht="15" customHeight="1" x14ac:dyDescent="0.25"/>
    <row r="219" s="1" customFormat="1" ht="15" customHeight="1" x14ac:dyDescent="0.25"/>
    <row r="220" s="1" customFormat="1" ht="15" customHeight="1" x14ac:dyDescent="0.25"/>
    <row r="221" s="1" customFormat="1" ht="15" customHeight="1" x14ac:dyDescent="0.25"/>
    <row r="222" s="1" customFormat="1" ht="15" customHeight="1" x14ac:dyDescent="0.25"/>
    <row r="223" s="1" customFormat="1" ht="15" customHeight="1" x14ac:dyDescent="0.25"/>
    <row r="224" s="1" customFormat="1" ht="15" customHeight="1" x14ac:dyDescent="0.25"/>
    <row r="225" s="1" customFormat="1" ht="15" customHeight="1" x14ac:dyDescent="0.25"/>
    <row r="226" s="1" customFormat="1" ht="15" customHeight="1" x14ac:dyDescent="0.25"/>
    <row r="227" s="1" customFormat="1" ht="15" customHeight="1" x14ac:dyDescent="0.25"/>
    <row r="228" s="1" customFormat="1" ht="15" customHeight="1" x14ac:dyDescent="0.25"/>
    <row r="229" s="1" customFormat="1" ht="15" customHeight="1" x14ac:dyDescent="0.25"/>
    <row r="230" s="1" customFormat="1" ht="15" customHeight="1" x14ac:dyDescent="0.25"/>
    <row r="231" s="1" customFormat="1" ht="15" customHeight="1" x14ac:dyDescent="0.25"/>
    <row r="232" s="1" customFormat="1" ht="15" customHeight="1" x14ac:dyDescent="0.25"/>
    <row r="233" s="1" customFormat="1" ht="15" customHeight="1" x14ac:dyDescent="0.25"/>
    <row r="234" s="1" customFormat="1" ht="15" customHeight="1" x14ac:dyDescent="0.25"/>
    <row r="235" s="1" customFormat="1" ht="15" customHeight="1" x14ac:dyDescent="0.25"/>
    <row r="236" s="1" customFormat="1" ht="15" customHeight="1" x14ac:dyDescent="0.25"/>
    <row r="237" s="1" customFormat="1" ht="15" customHeight="1" x14ac:dyDescent="0.25"/>
    <row r="238" s="1" customFormat="1" ht="15" customHeight="1" x14ac:dyDescent="0.25"/>
    <row r="239" s="1" customFormat="1" ht="15" customHeight="1" x14ac:dyDescent="0.25"/>
    <row r="240" s="1" customFormat="1" ht="15" customHeight="1" x14ac:dyDescent="0.25"/>
    <row r="241" s="1" customFormat="1" ht="15" customHeight="1" x14ac:dyDescent="0.25"/>
    <row r="242" s="1" customFormat="1" ht="15" customHeight="1" x14ac:dyDescent="0.25"/>
    <row r="243" s="1" customFormat="1" ht="15" customHeight="1" x14ac:dyDescent="0.25"/>
    <row r="244" s="1" customFormat="1" ht="15" customHeight="1" x14ac:dyDescent="0.25"/>
    <row r="245" s="1" customFormat="1" ht="15" customHeight="1" x14ac:dyDescent="0.25"/>
    <row r="246" s="1" customFormat="1" ht="15" customHeight="1" x14ac:dyDescent="0.25"/>
    <row r="247" s="1" customFormat="1" ht="15" customHeight="1" x14ac:dyDescent="0.25"/>
    <row r="248" s="1" customFormat="1" ht="15" customHeight="1" x14ac:dyDescent="0.25"/>
    <row r="249" s="1" customFormat="1" ht="15" customHeight="1" x14ac:dyDescent="0.25"/>
    <row r="250" s="1" customFormat="1" ht="15" customHeight="1" x14ac:dyDescent="0.25"/>
    <row r="251" s="1" customFormat="1" ht="15" customHeight="1" x14ac:dyDescent="0.25"/>
    <row r="252" s="1" customFormat="1" ht="15" customHeight="1" x14ac:dyDescent="0.25"/>
    <row r="253" s="1" customFormat="1" ht="15" customHeight="1" x14ac:dyDescent="0.25"/>
    <row r="254" s="1" customFormat="1" ht="15" customHeight="1" x14ac:dyDescent="0.25"/>
    <row r="255" s="1" customFormat="1" ht="15" customHeight="1" x14ac:dyDescent="0.25"/>
    <row r="256" s="1" customFormat="1" ht="15" customHeight="1" x14ac:dyDescent="0.25"/>
    <row r="257" s="1" customFormat="1" ht="15" customHeight="1" x14ac:dyDescent="0.25"/>
    <row r="258" s="1" customFormat="1" ht="15" customHeight="1" x14ac:dyDescent="0.25"/>
    <row r="259" s="1" customFormat="1" ht="15" customHeight="1" x14ac:dyDescent="0.25"/>
    <row r="260" s="1" customFormat="1" ht="15" customHeight="1" x14ac:dyDescent="0.25"/>
    <row r="261" s="1" customFormat="1" ht="15" customHeight="1" x14ac:dyDescent="0.25"/>
    <row r="262" s="1" customFormat="1" ht="15" customHeight="1" x14ac:dyDescent="0.25"/>
    <row r="263" s="1" customFormat="1" ht="15" customHeight="1" x14ac:dyDescent="0.25"/>
    <row r="264" s="1" customFormat="1" ht="15" customHeight="1" x14ac:dyDescent="0.25"/>
    <row r="265" s="1" customFormat="1" ht="15" customHeight="1" x14ac:dyDescent="0.25"/>
    <row r="266" s="1" customFormat="1" ht="15" customHeight="1" x14ac:dyDescent="0.25"/>
    <row r="267" s="1" customFormat="1" ht="15" customHeight="1" x14ac:dyDescent="0.25"/>
    <row r="268" s="1" customFormat="1" ht="15" customHeight="1" x14ac:dyDescent="0.25"/>
    <row r="269" s="1" customFormat="1" ht="15" customHeight="1" x14ac:dyDescent="0.25"/>
    <row r="270" s="1" customFormat="1" ht="15" customHeight="1" x14ac:dyDescent="0.25"/>
    <row r="271" s="1" customFormat="1" ht="15" customHeight="1" x14ac:dyDescent="0.25"/>
    <row r="272" s="1" customFormat="1" ht="15" customHeight="1" x14ac:dyDescent="0.25"/>
    <row r="273" s="1" customFormat="1" ht="15" customHeight="1" x14ac:dyDescent="0.25"/>
    <row r="274" s="1" customFormat="1" ht="15" customHeight="1" x14ac:dyDescent="0.25"/>
    <row r="275" s="1" customFormat="1" ht="15" customHeight="1" x14ac:dyDescent="0.25"/>
    <row r="276" s="1" customFormat="1" ht="15" customHeight="1" x14ac:dyDescent="0.25"/>
    <row r="277" s="1" customFormat="1" ht="15" customHeight="1" x14ac:dyDescent="0.25"/>
    <row r="278" s="1" customFormat="1" ht="15" customHeight="1" x14ac:dyDescent="0.25"/>
    <row r="279" s="1" customFormat="1" ht="15" customHeight="1" x14ac:dyDescent="0.25"/>
    <row r="280" s="1" customFormat="1" ht="15" customHeight="1" x14ac:dyDescent="0.25"/>
    <row r="281" s="1" customFormat="1" ht="15" customHeight="1" x14ac:dyDescent="0.25"/>
    <row r="282" s="1" customFormat="1" ht="15" customHeight="1" x14ac:dyDescent="0.25"/>
    <row r="283" s="1" customFormat="1" ht="15" customHeight="1" x14ac:dyDescent="0.25"/>
    <row r="284" s="1" customFormat="1" ht="15" customHeight="1" x14ac:dyDescent="0.25"/>
    <row r="285" s="1" customFormat="1" ht="15" customHeight="1" x14ac:dyDescent="0.25"/>
    <row r="286" s="1" customFormat="1" ht="15" customHeight="1" x14ac:dyDescent="0.25"/>
    <row r="287" s="1" customFormat="1" ht="15" customHeight="1" x14ac:dyDescent="0.25"/>
    <row r="288" s="1" customFormat="1" ht="15" customHeight="1" x14ac:dyDescent="0.25"/>
    <row r="289" s="1" customFormat="1" ht="15" customHeight="1" x14ac:dyDescent="0.25"/>
    <row r="290" s="1" customFormat="1" ht="15" customHeight="1" x14ac:dyDescent="0.25"/>
    <row r="291" s="1" customFormat="1" ht="15" customHeight="1" x14ac:dyDescent="0.25"/>
    <row r="292" s="1" customFormat="1" ht="15" customHeight="1" x14ac:dyDescent="0.25"/>
    <row r="293" s="1" customFormat="1" ht="15" customHeight="1" x14ac:dyDescent="0.25"/>
    <row r="294" s="1" customFormat="1" ht="15" customHeight="1" x14ac:dyDescent="0.25"/>
    <row r="295" s="1" customFormat="1" ht="15" customHeight="1" x14ac:dyDescent="0.25"/>
    <row r="296" s="1" customFormat="1" ht="15" customHeight="1" x14ac:dyDescent="0.25"/>
    <row r="297" s="1" customFormat="1" ht="15" customHeight="1" x14ac:dyDescent="0.25"/>
    <row r="298" s="1" customFormat="1" ht="15" customHeight="1" x14ac:dyDescent="0.25"/>
    <row r="299" s="1" customFormat="1" ht="15" customHeight="1" x14ac:dyDescent="0.25"/>
    <row r="300" s="1" customFormat="1" ht="15" customHeight="1" x14ac:dyDescent="0.25"/>
    <row r="301" s="1" customFormat="1" ht="15" customHeight="1" x14ac:dyDescent="0.25"/>
    <row r="302" s="1" customFormat="1" ht="15" customHeight="1" x14ac:dyDescent="0.25"/>
    <row r="303" s="1" customFormat="1" ht="15" customHeight="1" x14ac:dyDescent="0.25"/>
    <row r="304" s="1" customFormat="1" ht="15" customHeight="1" x14ac:dyDescent="0.25"/>
    <row r="305" s="1" customFormat="1" ht="15" customHeight="1" x14ac:dyDescent="0.25"/>
    <row r="306" s="1" customFormat="1" ht="15" customHeight="1" x14ac:dyDescent="0.25"/>
    <row r="307" s="1" customFormat="1" ht="15" customHeight="1" x14ac:dyDescent="0.25"/>
    <row r="308" s="1" customFormat="1" ht="15" customHeight="1" x14ac:dyDescent="0.25"/>
    <row r="309" s="1" customFormat="1" ht="15" customHeight="1" x14ac:dyDescent="0.25"/>
    <row r="310" s="1" customFormat="1" ht="15" customHeight="1" x14ac:dyDescent="0.25"/>
    <row r="311" s="1" customFormat="1" ht="15" customHeight="1" x14ac:dyDescent="0.25"/>
    <row r="312" s="1" customFormat="1" ht="15" customHeight="1" x14ac:dyDescent="0.25"/>
    <row r="313" s="1" customFormat="1" ht="15" customHeight="1" x14ac:dyDescent="0.25"/>
    <row r="314" s="1" customFormat="1" ht="15" customHeight="1" x14ac:dyDescent="0.25"/>
    <row r="315" s="1" customFormat="1" ht="15" customHeight="1" x14ac:dyDescent="0.25"/>
    <row r="316" s="1" customFormat="1" ht="15" customHeight="1" x14ac:dyDescent="0.25"/>
    <row r="317" s="1" customFormat="1" ht="15" customHeight="1" x14ac:dyDescent="0.25"/>
    <row r="318" s="1" customFormat="1" ht="15" customHeight="1" x14ac:dyDescent="0.25"/>
    <row r="319" s="1" customFormat="1" ht="15" customHeight="1" x14ac:dyDescent="0.25"/>
    <row r="320" s="1" customFormat="1" ht="15" customHeight="1" x14ac:dyDescent="0.25"/>
    <row r="321" s="1" customFormat="1" ht="15" customHeight="1" x14ac:dyDescent="0.25"/>
    <row r="322" s="1" customFormat="1" ht="15" customHeight="1" x14ac:dyDescent="0.25"/>
    <row r="323" s="1" customFormat="1" ht="15" customHeight="1" x14ac:dyDescent="0.25"/>
    <row r="324" s="1" customFormat="1" ht="15" customHeight="1" x14ac:dyDescent="0.25"/>
    <row r="325" s="1" customFormat="1" ht="15" customHeight="1" x14ac:dyDescent="0.25"/>
    <row r="326" s="1" customFormat="1" ht="15" customHeight="1" x14ac:dyDescent="0.25"/>
    <row r="327" s="1" customFormat="1" ht="15" customHeight="1" x14ac:dyDescent="0.25"/>
    <row r="328" s="1" customFormat="1" ht="15" customHeight="1" x14ac:dyDescent="0.25"/>
    <row r="329" s="1" customFormat="1" ht="15" customHeight="1" x14ac:dyDescent="0.25"/>
    <row r="330" s="1" customFormat="1" ht="15" customHeight="1" x14ac:dyDescent="0.25"/>
    <row r="331" s="1" customFormat="1" ht="15" customHeight="1" x14ac:dyDescent="0.25"/>
    <row r="332" s="1" customFormat="1" ht="15" customHeight="1" x14ac:dyDescent="0.25"/>
    <row r="333" s="1" customFormat="1" ht="15" customHeight="1" x14ac:dyDescent="0.25"/>
    <row r="334" s="1" customFormat="1" ht="15" customHeight="1" x14ac:dyDescent="0.25"/>
    <row r="335" s="1" customFormat="1" ht="15" customHeight="1" x14ac:dyDescent="0.25"/>
    <row r="336" s="1" customFormat="1" ht="15" customHeight="1" x14ac:dyDescent="0.25"/>
    <row r="337" s="1" customFormat="1" ht="15" customHeight="1" x14ac:dyDescent="0.25"/>
    <row r="338" s="1" customFormat="1" ht="15" customHeight="1" x14ac:dyDescent="0.25"/>
    <row r="339" s="1" customFormat="1" ht="15" customHeight="1" x14ac:dyDescent="0.25"/>
    <row r="340" s="1" customFormat="1" ht="15" customHeight="1" x14ac:dyDescent="0.25"/>
    <row r="341" s="1" customFormat="1" ht="15" customHeight="1" x14ac:dyDescent="0.25"/>
    <row r="342" s="1" customFormat="1" ht="15" customHeight="1" x14ac:dyDescent="0.25"/>
    <row r="343" s="1" customFormat="1" ht="15" customHeight="1" x14ac:dyDescent="0.25"/>
    <row r="344" s="1" customFormat="1" ht="15" customHeight="1" x14ac:dyDescent="0.25"/>
    <row r="345" s="1" customFormat="1" ht="15" customHeight="1" x14ac:dyDescent="0.25"/>
    <row r="346" s="1" customFormat="1" ht="15" customHeight="1" x14ac:dyDescent="0.25"/>
    <row r="347" s="1" customFormat="1" ht="15" customHeight="1" x14ac:dyDescent="0.25"/>
    <row r="348" s="1" customFormat="1" ht="15" customHeight="1" x14ac:dyDescent="0.25"/>
    <row r="349" s="1" customFormat="1" ht="15" customHeight="1" x14ac:dyDescent="0.25"/>
    <row r="350" s="1" customFormat="1" ht="15" customHeight="1" x14ac:dyDescent="0.25"/>
    <row r="351" s="1" customFormat="1" ht="15" customHeight="1" x14ac:dyDescent="0.25"/>
    <row r="352" s="1" customFormat="1" ht="15" customHeight="1" x14ac:dyDescent="0.25"/>
    <row r="353" s="1" customFormat="1" ht="15" customHeight="1" x14ac:dyDescent="0.25"/>
    <row r="354" s="1" customFormat="1" ht="15" customHeight="1" x14ac:dyDescent="0.25"/>
    <row r="355" s="1" customFormat="1" ht="15" customHeight="1" x14ac:dyDescent="0.25"/>
    <row r="356" s="1" customFormat="1" ht="15" customHeight="1" x14ac:dyDescent="0.25"/>
    <row r="357" s="1" customFormat="1" ht="15" customHeight="1" x14ac:dyDescent="0.25"/>
    <row r="358" s="1" customFormat="1" ht="15" customHeight="1" x14ac:dyDescent="0.25"/>
    <row r="359" s="1" customFormat="1" ht="15" customHeight="1" x14ac:dyDescent="0.25"/>
    <row r="360" s="1" customFormat="1" ht="15" customHeight="1" x14ac:dyDescent="0.25"/>
    <row r="361" s="1" customFormat="1" ht="15" customHeight="1" x14ac:dyDescent="0.25"/>
    <row r="362" s="1" customFormat="1" ht="15" customHeight="1" x14ac:dyDescent="0.25"/>
    <row r="363" s="1" customFormat="1" ht="15" customHeight="1" x14ac:dyDescent="0.25"/>
    <row r="364" s="1" customFormat="1" ht="15" customHeight="1" x14ac:dyDescent="0.25"/>
    <row r="365" s="1" customFormat="1" ht="15" customHeight="1" x14ac:dyDescent="0.25"/>
    <row r="366" s="1" customFormat="1" ht="15" customHeight="1" x14ac:dyDescent="0.25"/>
    <row r="367" s="1" customFormat="1" ht="15" customHeight="1" x14ac:dyDescent="0.25"/>
    <row r="368" s="1" customFormat="1" ht="15" customHeight="1" x14ac:dyDescent="0.25"/>
    <row r="369" s="1" customFormat="1" ht="15" customHeight="1" x14ac:dyDescent="0.25"/>
    <row r="370" s="1" customFormat="1" ht="15" customHeight="1" x14ac:dyDescent="0.25"/>
    <row r="371" s="1" customFormat="1" ht="15" customHeight="1" x14ac:dyDescent="0.25"/>
    <row r="372" s="1" customFormat="1" ht="15" customHeight="1" x14ac:dyDescent="0.25"/>
    <row r="373" s="1" customFormat="1" ht="15" customHeight="1" x14ac:dyDescent="0.25"/>
    <row r="374" s="1" customFormat="1" ht="15" customHeight="1" x14ac:dyDescent="0.25"/>
    <row r="375" s="1" customFormat="1" ht="15" customHeight="1" x14ac:dyDescent="0.25"/>
    <row r="376" s="1" customFormat="1" ht="15" customHeight="1" x14ac:dyDescent="0.25"/>
    <row r="377" s="1" customFormat="1" ht="15" customHeight="1" x14ac:dyDescent="0.25"/>
    <row r="378" s="1" customFormat="1" ht="15" customHeight="1" x14ac:dyDescent="0.25"/>
    <row r="379" s="1" customFormat="1" ht="15" customHeight="1" x14ac:dyDescent="0.25"/>
    <row r="380" s="1" customFormat="1" ht="15" customHeight="1" x14ac:dyDescent="0.25"/>
    <row r="381" s="1" customFormat="1" ht="15" customHeight="1" x14ac:dyDescent="0.25"/>
    <row r="382" s="1" customFormat="1" ht="15" customHeight="1" x14ac:dyDescent="0.25"/>
    <row r="383" s="1" customFormat="1" ht="15" customHeight="1" x14ac:dyDescent="0.25"/>
    <row r="384" s="1" customFormat="1" ht="15" customHeight="1" x14ac:dyDescent="0.25"/>
    <row r="385" s="1" customFormat="1" ht="15" customHeight="1" x14ac:dyDescent="0.25"/>
    <row r="386" s="1" customFormat="1" ht="15" customHeight="1" x14ac:dyDescent="0.25"/>
    <row r="387" s="1" customFormat="1" ht="15" customHeight="1" x14ac:dyDescent="0.25"/>
    <row r="388" s="1" customFormat="1" ht="15" customHeight="1" x14ac:dyDescent="0.25"/>
    <row r="389" s="1" customFormat="1" ht="15" customHeight="1" x14ac:dyDescent="0.25"/>
    <row r="390" s="1" customFormat="1" ht="15" customHeight="1" x14ac:dyDescent="0.25"/>
    <row r="391" s="1" customFormat="1" ht="15" customHeight="1" x14ac:dyDescent="0.25"/>
    <row r="392" s="1" customFormat="1" ht="15" customHeight="1" x14ac:dyDescent="0.25"/>
    <row r="393" s="1" customFormat="1" ht="15" customHeight="1" x14ac:dyDescent="0.25"/>
    <row r="394" s="1" customFormat="1" ht="15" customHeight="1" x14ac:dyDescent="0.25"/>
    <row r="395" s="1" customFormat="1" ht="15" customHeight="1" x14ac:dyDescent="0.25"/>
    <row r="396" s="1" customFormat="1" ht="15" customHeight="1" x14ac:dyDescent="0.25"/>
    <row r="397" s="1" customFormat="1" ht="15" customHeight="1" x14ac:dyDescent="0.25"/>
    <row r="398" s="1" customFormat="1" ht="15" customHeight="1" x14ac:dyDescent="0.25"/>
    <row r="399" s="1" customFormat="1" ht="15" customHeight="1" x14ac:dyDescent="0.25"/>
    <row r="400" s="1" customFormat="1" ht="15" customHeight="1" x14ac:dyDescent="0.25"/>
    <row r="401" s="1" customFormat="1" ht="15" customHeight="1" x14ac:dyDescent="0.25"/>
    <row r="402" s="1" customFormat="1" ht="15" customHeight="1" x14ac:dyDescent="0.25"/>
    <row r="403" s="1" customFormat="1" ht="15" customHeight="1" x14ac:dyDescent="0.25"/>
    <row r="404" s="1" customFormat="1" ht="15" customHeight="1" x14ac:dyDescent="0.25"/>
    <row r="405" s="1" customFormat="1" ht="15" customHeight="1" x14ac:dyDescent="0.25"/>
  </sheetData>
  <sheetProtection algorithmName="SHA-512" hashValue="hI6qGlJPL87fADf4/jJhKXp+QQXmYYqx3WQ2IUx/OiXPU5v6LhBqpPWhfOsz6S9H/ze3LcGaaiILL/eycXvlPQ==" saltValue="kbCX1qdIikNBMGfd8yIrew==" spinCount="100000" sheet="1" objects="1" scenarios="1"/>
  <mergeCells count="20">
    <mergeCell ref="U29:W29"/>
    <mergeCell ref="U30:W30"/>
    <mergeCell ref="U31:W31"/>
    <mergeCell ref="G26:T26"/>
    <mergeCell ref="U26:W26"/>
    <mergeCell ref="U27:W27"/>
    <mergeCell ref="G28:T28"/>
    <mergeCell ref="U28:W28"/>
    <mergeCell ref="U25:W25"/>
    <mergeCell ref="C7:AO8"/>
    <mergeCell ref="C13:AO16"/>
    <mergeCell ref="C21:AO21"/>
    <mergeCell ref="U23:W23"/>
    <mergeCell ref="U24:W24"/>
    <mergeCell ref="U32:W32"/>
    <mergeCell ref="U33:W33"/>
    <mergeCell ref="U34:W34"/>
    <mergeCell ref="C38:AO38"/>
    <mergeCell ref="C39:AO43"/>
    <mergeCell ref="AI35:AO36"/>
  </mergeCells>
  <dataValidations disablePrompts="1" count="1">
    <dataValidation type="list" allowBlank="1" showInputMessage="1" showErrorMessage="1" sqref="G34" xr:uid="{5C701C5D-B71A-43D0-B62D-14D5D30BABE2}">
      <formula1>pbsrange1</formula1>
    </dataValidation>
  </dataValidations>
  <printOptions horizontalCentered="1" verticalCentered="1"/>
  <pageMargins left="0.2" right="0.2" top="0.2" bottom="0.2" header="0" footer="0"/>
  <pageSetup scale="9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39AD2BD9EF5744A93D330800BBA098" ma:contentTypeVersion="12" ma:contentTypeDescription="Create a new document." ma:contentTypeScope="" ma:versionID="53c6a75c1dc2e3e96ac04e6d146483af">
  <xsd:schema xmlns:xsd="http://www.w3.org/2001/XMLSchema" xmlns:xs="http://www.w3.org/2001/XMLSchema" xmlns:p="http://schemas.microsoft.com/office/2006/metadata/properties" xmlns:ns2="f06edbc9-4a38-4633-ac57-12812ade00da" xmlns:ns3="5733c3ee-3ed4-4876-80d1-ffc06c69238d" targetNamespace="http://schemas.microsoft.com/office/2006/metadata/properties" ma:root="true" ma:fieldsID="3e06dbbfe3e4aaeee4bddc3101a9e35d" ns2:_="" ns3:_="">
    <xsd:import namespace="f06edbc9-4a38-4633-ac57-12812ade00da"/>
    <xsd:import namespace="5733c3ee-3ed4-4876-80d1-ffc06c6923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edbc9-4a38-4633-ac57-12812ade0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1eb04f-e05f-4397-87ae-cd0659b49bd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33c3ee-3ed4-4876-80d1-ffc06c6923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4d54e4-43ca-4912-830a-8b9c716c240c}" ma:internalName="TaxCatchAll" ma:showField="CatchAllData" ma:web="5733c3ee-3ed4-4876-80d1-ffc06c6923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733c3ee-3ed4-4876-80d1-ffc06c69238d" xsi:nil="true"/>
    <lcf76f155ced4ddcb4097134ff3c332f xmlns="f06edbc9-4a38-4633-ac57-12812ade00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87E717-A7E8-4ABD-9C11-022981B96B1E}">
  <ds:schemaRefs>
    <ds:schemaRef ds:uri="http://schemas.microsoft.com/sharepoint/v3/contenttype/forms"/>
  </ds:schemaRefs>
</ds:datastoreItem>
</file>

<file path=customXml/itemProps2.xml><?xml version="1.0" encoding="utf-8"?>
<ds:datastoreItem xmlns:ds="http://schemas.openxmlformats.org/officeDocument/2006/customXml" ds:itemID="{17F9491A-2391-468E-8987-CE8F38458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6edbc9-4a38-4633-ac57-12812ade00da"/>
    <ds:schemaRef ds:uri="5733c3ee-3ed4-4876-80d1-ffc06c6923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5F7DEC-7FDB-4C8E-98E0-55B2BDFD9AE7}">
  <ds:schemaRefs>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5733c3ee-3ed4-4876-80d1-ffc06c69238d"/>
    <ds:schemaRef ds:uri="f06edbc9-4a38-4633-ac57-12812ade00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Overview and Purpose</vt:lpstr>
      <vt:lpstr>Notch Filter Design</vt:lpstr>
      <vt:lpstr>HP Filter Design</vt:lpstr>
      <vt:lpstr>C-HP Filter Design</vt:lpstr>
      <vt:lpstr>Notch Reverse Calculator</vt:lpstr>
      <vt:lpstr>High-Pass Reverse Calculator</vt:lpstr>
      <vt:lpstr>C-High-Pass Reverse Calculator</vt:lpstr>
      <vt:lpstr>'C-High-Pass Reverse Calculator'!Print_Area</vt:lpstr>
      <vt:lpstr>'C-HP Filter Design'!Print_Area</vt:lpstr>
      <vt:lpstr>'High-Pass Reverse Calculator'!Print_Area</vt:lpstr>
      <vt:lpstr>'HP Filter Design'!Print_Area</vt:lpstr>
      <vt:lpstr>'Notch Filter Design'!Print_Area</vt:lpstr>
      <vt:lpstr>'Notch Reverse Calculator'!Print_Area</vt:lpstr>
      <vt:lpstr>'Overview and Purpose'!Print_Area</vt:lpstr>
    </vt:vector>
  </TitlesOfParts>
  <Company>VarStec Power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Medium-Voltage Harmonic Filter Design Tool</dc:title>
  <dc:subject>Medium-voltage harmonic filter design</dc:subject>
  <dc:creator>Paul Steciuk;Paul B. Steciuk;VarStec Power Solutions</dc:creator>
  <cp:keywords>IEEE 519-2022, IEEE 1531-2020, IEEE 1036-2020, C-HP, Notch, HP C-High-Pass, High-Pass, Filter, Capacitor, Reactor, Resistor, Duty Rating, Voltage Stress, Current Stress, Peak Voltage Distortion</cp:keywords>
  <dc:description>VarStec's Harmonic Filter Design Tool is an engineering tool developed to support the design, evaluation, and comparision of medium-voltage harmonic filter systems used in industrial, utility, renewable, and mine power systems. The workbook provides consistent, standards based methodology for designing C-HP, HP, and Notch Harmonic Filter Banks.
</dc:description>
  <cp:lastModifiedBy>Paul Steciuk</cp:lastModifiedBy>
  <cp:lastPrinted>2026-01-16T13:50:22Z</cp:lastPrinted>
  <dcterms:created xsi:type="dcterms:W3CDTF">2025-12-26T20:30:57Z</dcterms:created>
  <dcterms:modified xsi:type="dcterms:W3CDTF">2026-04-19T19:41:29Z</dcterms:modified>
  <cp:category>Professinal Engineering Analysis Tool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0x010100D339AD2BD9EF5744A93D330800BBA098</vt:lpwstr>
  </property>
  <property fmtid="{D5CDD505-2E9C-101B-9397-08002B2CF9AE}" pid="3" name="MediaServiceImageTags">
    <vt:lpwstr/>
  </property>
</Properties>
</file>